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15. Daniela M\1. Rodoviária\13. Arquivos Gerados\"/>
    </mc:Choice>
  </mc:AlternateContent>
  <bookViews>
    <workbookView xWindow="0" yWindow="0" windowWidth="28800" windowHeight="12435"/>
  </bookViews>
  <sheets>
    <sheet name="PLANILHA 011017" sheetId="5375" r:id="rId1"/>
    <sheet name="BDI" sheetId="5381" r:id="rId2"/>
    <sheet name="MEMORIAL DE CALCULO GERAL" sheetId="5377" r:id="rId3"/>
    <sheet name="MEMO DE CALC DEMOLIÇÃO" sheetId="5384" r:id="rId4"/>
    <sheet name="MEMORIAL ESTRUTURAL" sheetId="5388" r:id="rId5"/>
    <sheet name=" MEMO DE CALC. REVESTIMENTO" sheetId="5383" r:id="rId6"/>
    <sheet name="MEMORIAL ABERTURA DE VALA" sheetId="5386" r:id="rId7"/>
    <sheet name="ORÇAMENTO GRADIL" sheetId="5385" r:id="rId8"/>
  </sheets>
  <externalReferences>
    <externalReference r:id="rId9"/>
  </externalReferences>
  <definedNames>
    <definedName name="_xlnm._FilterDatabase" localSheetId="2" hidden="1">'MEMORIAL DE CALCULO GERAL'!$F$1:$F$233</definedName>
    <definedName name="_xlnm.Print_Area" localSheetId="2">'MEMORIAL DE CALCULO GERAL'!$A$1:$F$239</definedName>
    <definedName name="_xlnm.Database">#REF!</definedName>
    <definedName name="BDI.Opcao" hidden="1">[1]DADOS!$F$18</definedName>
    <definedName name="DESONERACAO" hidden="1">IF(OR(Import.Desoneracao="DESONERADO",Import.Desoneracao="SIM"),"SIM","NÃO")</definedName>
    <definedName name="FDE" localSheetId="0">'PLANILHA 011017'!$B$9:$G$10</definedName>
    <definedName name="FDE">#REF!</definedName>
    <definedName name="Import.Desoneracao" hidden="1">OFFSET([1]DADOS!$G$18,0,-1)</definedName>
    <definedName name="ORÇAMENTO.BancoRef" hidden="1">#REF!</definedName>
    <definedName name="REFERENCIA.Descricao" hidden="1">IF(ISNUMBER(#REF!),OFFSET(INDIRECT(ORÇAMENTO.BancoRef),#REF!-1,3,1),#REF!)</definedName>
    <definedName name="_xlnm.Print_Titles" localSheetId="0">'PLANILHA 011017'!$7:$10</definedName>
  </definedNames>
  <calcPr calcId="162913"/>
</workbook>
</file>

<file path=xl/calcChain.xml><?xml version="1.0" encoding="utf-8"?>
<calcChain xmlns="http://schemas.openxmlformats.org/spreadsheetml/2006/main">
  <c r="G109" i="5375" l="1"/>
  <c r="H109" i="5375"/>
  <c r="O16" i="5383" l="1"/>
  <c r="P13" i="5383"/>
  <c r="E171" i="5377" l="1"/>
  <c r="M94" i="5388" l="1"/>
  <c r="M95" i="5388"/>
  <c r="M96" i="5388"/>
  <c r="M97" i="5388"/>
  <c r="M98" i="5388"/>
  <c r="M99" i="5388"/>
  <c r="M100" i="5388"/>
  <c r="M101" i="5388"/>
  <c r="M102" i="5388"/>
  <c r="M104" i="5388"/>
  <c r="M105" i="5388"/>
  <c r="M103" i="5388"/>
  <c r="K35" i="5388"/>
  <c r="K36" i="5388"/>
  <c r="K37" i="5388"/>
  <c r="K38" i="5388"/>
  <c r="K39" i="5388"/>
  <c r="K40" i="5388"/>
  <c r="E89" i="5377" l="1"/>
  <c r="E48" i="5377"/>
  <c r="M69" i="5388"/>
  <c r="K45" i="5388"/>
  <c r="M45" i="5388" s="1"/>
  <c r="M22" i="5388"/>
  <c r="E123" i="5377" l="1"/>
  <c r="E132" i="5375" s="1"/>
  <c r="E119" i="5377"/>
  <c r="E41" i="5377"/>
  <c r="E230" i="5377"/>
  <c r="E14" i="5375"/>
  <c r="E15" i="5375"/>
  <c r="E16" i="5375"/>
  <c r="E17" i="5375"/>
  <c r="E18" i="5375"/>
  <c r="E19" i="5375"/>
  <c r="E24" i="5375"/>
  <c r="E26" i="5375"/>
  <c r="E27" i="5375"/>
  <c r="E29" i="5375"/>
  <c r="E32" i="5375"/>
  <c r="E34" i="5375"/>
  <c r="E35" i="5375"/>
  <c r="E36" i="5375"/>
  <c r="E37" i="5375"/>
  <c r="E38" i="5375"/>
  <c r="E40" i="5375"/>
  <c r="E41" i="5375"/>
  <c r="E42" i="5375"/>
  <c r="E44" i="5375"/>
  <c r="E45" i="5375"/>
  <c r="E46" i="5375"/>
  <c r="E47" i="5375"/>
  <c r="E50" i="5375"/>
  <c r="E53" i="5375"/>
  <c r="E54" i="5375"/>
  <c r="E55" i="5375"/>
  <c r="E57" i="5375"/>
  <c r="E61" i="5375"/>
  <c r="E62" i="5375"/>
  <c r="E63" i="5375"/>
  <c r="E64" i="5375"/>
  <c r="E65" i="5375"/>
  <c r="E66" i="5375"/>
  <c r="E67" i="5375"/>
  <c r="E68" i="5375"/>
  <c r="E69" i="5375"/>
  <c r="E70" i="5375"/>
  <c r="E74" i="5375"/>
  <c r="E75" i="5375"/>
  <c r="E76" i="5375"/>
  <c r="E77" i="5375"/>
  <c r="E90" i="5375"/>
  <c r="E94" i="5375"/>
  <c r="E97" i="5375"/>
  <c r="E98" i="5375"/>
  <c r="E100" i="5375"/>
  <c r="E101" i="5375"/>
  <c r="E102" i="5375"/>
  <c r="E114" i="5375"/>
  <c r="E115" i="5375"/>
  <c r="E117" i="5375"/>
  <c r="E118" i="5375"/>
  <c r="E119" i="5375"/>
  <c r="E120" i="5375"/>
  <c r="E121" i="5375"/>
  <c r="E122" i="5375"/>
  <c r="E123" i="5375"/>
  <c r="E124" i="5375"/>
  <c r="E125" i="5375"/>
  <c r="E126" i="5375"/>
  <c r="E128" i="5375"/>
  <c r="E130" i="5375"/>
  <c r="E131" i="5375"/>
  <c r="E133" i="5375"/>
  <c r="E134" i="5375"/>
  <c r="E135" i="5375"/>
  <c r="E136" i="5375"/>
  <c r="E137" i="5375"/>
  <c r="E138" i="5375"/>
  <c r="E139" i="5375"/>
  <c r="E140" i="5375"/>
  <c r="E141" i="5375"/>
  <c r="E142" i="5375"/>
  <c r="E143" i="5375"/>
  <c r="E144" i="5375"/>
  <c r="E145" i="5375"/>
  <c r="E146" i="5375"/>
  <c r="E147" i="5375"/>
  <c r="E148" i="5375"/>
  <c r="E149" i="5375"/>
  <c r="E150" i="5375"/>
  <c r="E151" i="5375"/>
  <c r="E153" i="5375"/>
  <c r="E154" i="5375"/>
  <c r="E155" i="5375"/>
  <c r="E156" i="5375"/>
  <c r="E157" i="5375"/>
  <c r="E158" i="5375"/>
  <c r="E159" i="5375"/>
  <c r="E160" i="5375"/>
  <c r="E161" i="5375"/>
  <c r="E162" i="5375"/>
  <c r="E163" i="5375"/>
  <c r="E164" i="5375"/>
  <c r="E165" i="5375"/>
  <c r="E166" i="5375"/>
  <c r="E167" i="5375"/>
  <c r="E168" i="5375"/>
  <c r="E169" i="5375"/>
  <c r="E170" i="5375"/>
  <c r="E171" i="5375"/>
  <c r="E172" i="5375"/>
  <c r="E173" i="5375"/>
  <c r="E174" i="5375"/>
  <c r="E175" i="5375"/>
  <c r="E176" i="5375"/>
  <c r="E177" i="5375"/>
  <c r="E178" i="5375"/>
  <c r="E179" i="5375"/>
  <c r="E181" i="5375"/>
  <c r="E182" i="5375"/>
  <c r="E183" i="5375"/>
  <c r="E184" i="5375"/>
  <c r="E185" i="5375"/>
  <c r="E186" i="5375"/>
  <c r="E187" i="5375"/>
  <c r="E188" i="5375"/>
  <c r="E189" i="5375"/>
  <c r="E190" i="5375"/>
  <c r="E191" i="5375"/>
  <c r="E192" i="5375"/>
  <c r="E193" i="5375"/>
  <c r="E194" i="5375"/>
  <c r="E197" i="5375"/>
  <c r="E199" i="5375"/>
  <c r="E200" i="5375"/>
  <c r="E201" i="5375"/>
  <c r="E202" i="5375"/>
  <c r="E203" i="5375"/>
  <c r="E204" i="5375"/>
  <c r="E205" i="5375"/>
  <c r="E206" i="5375"/>
  <c r="E207" i="5375"/>
  <c r="E208" i="5375"/>
  <c r="E209" i="5375"/>
  <c r="E210" i="5375"/>
  <c r="E211" i="5375"/>
  <c r="E212" i="5375"/>
  <c r="E213" i="5375"/>
  <c r="E214" i="5375"/>
  <c r="E215" i="5375"/>
  <c r="E216" i="5375"/>
  <c r="E217" i="5375"/>
  <c r="E218" i="5375"/>
  <c r="E219" i="5375"/>
  <c r="E220" i="5375"/>
  <c r="E221" i="5375"/>
  <c r="E222" i="5375"/>
  <c r="E223" i="5375"/>
  <c r="E224" i="5375"/>
  <c r="E225" i="5375"/>
  <c r="E226" i="5375"/>
  <c r="E227" i="5375"/>
  <c r="E228" i="5375"/>
  <c r="E229" i="5375"/>
  <c r="E230" i="5375"/>
  <c r="E231" i="5375"/>
  <c r="E232" i="5375"/>
  <c r="E233" i="5375"/>
  <c r="E236" i="5375"/>
  <c r="E237" i="5375"/>
  <c r="E238" i="5375"/>
  <c r="E239" i="5375"/>
  <c r="E240" i="5375"/>
  <c r="E4" i="5377"/>
  <c r="E94" i="5377"/>
  <c r="E103" i="5375" s="1"/>
  <c r="E84" i="5377" l="1"/>
  <c r="E93" i="5375" s="1"/>
  <c r="E22" i="5377"/>
  <c r="E31" i="5375" s="1"/>
  <c r="E42" i="5377" l="1"/>
  <c r="E51" i="5375" s="1"/>
  <c r="E40" i="5377"/>
  <c r="E49" i="5375" s="1"/>
  <c r="E72" i="5377"/>
  <c r="E81" i="5375" s="1"/>
  <c r="E11" i="5377"/>
  <c r="E20" i="5375" s="1"/>
  <c r="M93" i="5388" l="1"/>
  <c r="M88" i="5388"/>
  <c r="M87" i="5388"/>
  <c r="M86" i="5388"/>
  <c r="M85" i="5388"/>
  <c r="M84" i="5388"/>
  <c r="M83" i="5388"/>
  <c r="M82" i="5388"/>
  <c r="M76" i="5388"/>
  <c r="M75" i="5388"/>
  <c r="M74" i="5388"/>
  <c r="M73" i="5388"/>
  <c r="M72" i="5388"/>
  <c r="M71" i="5388"/>
  <c r="M70" i="5388"/>
  <c r="M68" i="5388"/>
  <c r="M67" i="5388"/>
  <c r="M66" i="5388"/>
  <c r="M65" i="5388"/>
  <c r="M64" i="5388"/>
  <c r="M63" i="5388"/>
  <c r="M62" i="5388"/>
  <c r="M61" i="5388"/>
  <c r="M60" i="5388"/>
  <c r="M59" i="5388"/>
  <c r="M58" i="5388"/>
  <c r="K52" i="5388"/>
  <c r="M52" i="5388" s="1"/>
  <c r="K51" i="5388"/>
  <c r="M51" i="5388" s="1"/>
  <c r="K50" i="5388"/>
  <c r="M50" i="5388" s="1"/>
  <c r="K49" i="5388"/>
  <c r="M49" i="5388" s="1"/>
  <c r="K48" i="5388"/>
  <c r="M48" i="5388" s="1"/>
  <c r="K47" i="5388"/>
  <c r="M47" i="5388" s="1"/>
  <c r="K46" i="5388"/>
  <c r="M46" i="5388" s="1"/>
  <c r="K44" i="5388"/>
  <c r="M44" i="5388" s="1"/>
  <c r="K43" i="5388"/>
  <c r="M43" i="5388" s="1"/>
  <c r="K42" i="5388"/>
  <c r="M42" i="5388" s="1"/>
  <c r="K41" i="5388"/>
  <c r="M41" i="5388" s="1"/>
  <c r="M40" i="5388"/>
  <c r="M39" i="5388"/>
  <c r="M38" i="5388"/>
  <c r="M37" i="5388"/>
  <c r="M36" i="5388"/>
  <c r="M35" i="5388"/>
  <c r="K34" i="5388"/>
  <c r="M34" i="5388" s="1"/>
  <c r="M29" i="5388"/>
  <c r="M28" i="5388"/>
  <c r="M27" i="5388"/>
  <c r="M26" i="5388"/>
  <c r="M25" i="5388"/>
  <c r="M24" i="5388"/>
  <c r="M23" i="5388"/>
  <c r="M21" i="5388"/>
  <c r="M20" i="5388"/>
  <c r="M19" i="5388"/>
  <c r="M18" i="5388"/>
  <c r="M17" i="5388"/>
  <c r="M16" i="5388"/>
  <c r="M15" i="5388"/>
  <c r="M14" i="5388"/>
  <c r="M13" i="5388"/>
  <c r="M12" i="5388"/>
  <c r="M11" i="5388"/>
  <c r="M5" i="5388"/>
  <c r="M6" i="5388" s="1"/>
  <c r="M89" i="5388" l="1"/>
  <c r="M30" i="5388"/>
  <c r="M106" i="5388"/>
  <c r="M77" i="5388"/>
  <c r="M53" i="5388"/>
  <c r="H19" i="5386" l="1"/>
  <c r="K19" i="5386" s="1"/>
  <c r="E19" i="5386"/>
  <c r="H18" i="5386"/>
  <c r="K18" i="5386" s="1"/>
  <c r="E18" i="5386"/>
  <c r="H17" i="5386"/>
  <c r="K17" i="5386" s="1"/>
  <c r="E17" i="5386"/>
  <c r="H16" i="5386"/>
  <c r="K16" i="5386" s="1"/>
  <c r="E16" i="5386"/>
  <c r="H15" i="5386"/>
  <c r="K15" i="5386" s="1"/>
  <c r="E15" i="5386"/>
  <c r="H14" i="5386"/>
  <c r="K14" i="5386" s="1"/>
  <c r="E14" i="5386"/>
  <c r="H13" i="5386"/>
  <c r="K13" i="5386" s="1"/>
  <c r="E13" i="5386"/>
  <c r="H12" i="5386"/>
  <c r="K12" i="5386" s="1"/>
  <c r="E12" i="5386"/>
  <c r="H11" i="5386"/>
  <c r="K11" i="5386" s="1"/>
  <c r="E11" i="5386"/>
  <c r="H10" i="5386"/>
  <c r="K10" i="5386" s="1"/>
  <c r="E10" i="5386"/>
  <c r="H9" i="5386"/>
  <c r="K9" i="5386" s="1"/>
  <c r="E9" i="5386"/>
  <c r="H8" i="5386"/>
  <c r="K8" i="5386" s="1"/>
  <c r="E8" i="5386"/>
  <c r="H7" i="5386"/>
  <c r="K7" i="5386" s="1"/>
  <c r="E7" i="5386"/>
  <c r="H6" i="5386"/>
  <c r="K6" i="5386" s="1"/>
  <c r="E6" i="5386"/>
  <c r="H5" i="5386"/>
  <c r="K5" i="5386" s="1"/>
  <c r="E5" i="5386"/>
  <c r="H4" i="5386"/>
  <c r="K4" i="5386" s="1"/>
  <c r="E4" i="5386"/>
  <c r="H3" i="5386"/>
  <c r="K3" i="5386" s="1"/>
  <c r="E3" i="5386"/>
  <c r="E20" i="5386" l="1"/>
  <c r="K20" i="5386"/>
  <c r="E143" i="5377" l="1"/>
  <c r="E152" i="5375" s="1"/>
  <c r="F5" i="5385"/>
  <c r="F4" i="5385"/>
  <c r="F3" i="5385"/>
  <c r="C7" i="5385"/>
  <c r="D7" i="5385"/>
  <c r="B7" i="5385"/>
  <c r="F7" i="5385" l="1"/>
  <c r="D9" i="5385"/>
  <c r="G9" i="5385"/>
  <c r="E12" i="5377"/>
  <c r="E21" i="5375" s="1"/>
  <c r="E71" i="5377"/>
  <c r="E80" i="5375" s="1"/>
  <c r="E70" i="5377"/>
  <c r="E79" i="5375" s="1"/>
  <c r="E69" i="5377"/>
  <c r="E78" i="5375" s="1"/>
  <c r="E95" i="5377"/>
  <c r="E104" i="5375" s="1"/>
  <c r="A121" i="5377"/>
  <c r="B121" i="5377"/>
  <c r="C121" i="5377"/>
  <c r="F121" i="5377"/>
  <c r="G130" i="5375"/>
  <c r="H130" i="5375" s="1"/>
  <c r="E13" i="5377"/>
  <c r="E22" i="5375" s="1"/>
  <c r="E80" i="5377"/>
  <c r="E89" i="5375" s="1"/>
  <c r="M163" i="5383"/>
  <c r="M162" i="5383"/>
  <c r="K161" i="5383"/>
  <c r="M161" i="5383" s="1"/>
  <c r="M160" i="5383"/>
  <c r="L160" i="5383"/>
  <c r="M159" i="5383"/>
  <c r="L158" i="5383"/>
  <c r="M158" i="5383" s="1"/>
  <c r="F158" i="5383"/>
  <c r="G158" i="5383" s="1"/>
  <c r="M157" i="5383"/>
  <c r="F157" i="5383"/>
  <c r="G157" i="5383" s="1"/>
  <c r="M156" i="5383"/>
  <c r="G156" i="5383"/>
  <c r="M155" i="5383"/>
  <c r="F155" i="5383"/>
  <c r="G155" i="5383" s="1"/>
  <c r="M154" i="5383"/>
  <c r="L153" i="5383"/>
  <c r="M153" i="5383" s="1"/>
  <c r="G153" i="5383"/>
  <c r="M152" i="5383"/>
  <c r="F152" i="5383"/>
  <c r="G152" i="5383" s="1"/>
  <c r="M151" i="5383"/>
  <c r="G151" i="5383"/>
  <c r="M150" i="5383"/>
  <c r="G150" i="5383"/>
  <c r="M149" i="5383"/>
  <c r="G149" i="5383"/>
  <c r="M148" i="5383"/>
  <c r="M147" i="5383"/>
  <c r="G147" i="5383"/>
  <c r="M146" i="5383"/>
  <c r="F146" i="5383"/>
  <c r="G146" i="5383" s="1"/>
  <c r="M145" i="5383"/>
  <c r="G145" i="5383"/>
  <c r="M144" i="5383"/>
  <c r="M143" i="5383"/>
  <c r="M142" i="5383"/>
  <c r="G142" i="5383"/>
  <c r="M141" i="5383"/>
  <c r="G141" i="5383"/>
  <c r="M140" i="5383"/>
  <c r="G140" i="5383"/>
  <c r="M139" i="5383"/>
  <c r="F139" i="5383"/>
  <c r="G139" i="5383" s="1"/>
  <c r="M138" i="5383"/>
  <c r="G138" i="5383"/>
  <c r="M137" i="5383"/>
  <c r="F137" i="5383"/>
  <c r="G137" i="5383" s="1"/>
  <c r="L136" i="5383"/>
  <c r="M136" i="5383" s="1"/>
  <c r="L135" i="5383"/>
  <c r="M135" i="5383" s="1"/>
  <c r="G135" i="5383"/>
  <c r="L134" i="5383"/>
  <c r="M134" i="5383" s="1"/>
  <c r="G134" i="5383"/>
  <c r="F134" i="5383"/>
  <c r="L133" i="5383"/>
  <c r="M133" i="5383" s="1"/>
  <c r="F133" i="5383"/>
  <c r="G133" i="5383" s="1"/>
  <c r="L132" i="5383"/>
  <c r="M132" i="5383" s="1"/>
  <c r="G132" i="5383"/>
  <c r="N123" i="5383"/>
  <c r="M122" i="5383"/>
  <c r="N122" i="5383" s="1"/>
  <c r="M121" i="5383"/>
  <c r="N121" i="5383" s="1"/>
  <c r="N120" i="5383"/>
  <c r="G119" i="5383"/>
  <c r="N118" i="5383"/>
  <c r="F118" i="5383"/>
  <c r="G118" i="5383" s="1"/>
  <c r="M117" i="5383"/>
  <c r="N117" i="5383" s="1"/>
  <c r="G117" i="5383"/>
  <c r="N116" i="5383"/>
  <c r="F116" i="5383"/>
  <c r="G116" i="5383" s="1"/>
  <c r="N115" i="5383"/>
  <c r="N114" i="5383"/>
  <c r="G114" i="5383"/>
  <c r="N113" i="5383"/>
  <c r="G113" i="5383"/>
  <c r="M112" i="5383"/>
  <c r="N112" i="5383" s="1"/>
  <c r="G112" i="5383"/>
  <c r="M111" i="5383"/>
  <c r="N111" i="5383" s="1"/>
  <c r="F111" i="5383"/>
  <c r="G111" i="5383" s="1"/>
  <c r="N110" i="5383"/>
  <c r="G110" i="5383"/>
  <c r="M109" i="5383"/>
  <c r="N109" i="5383" s="1"/>
  <c r="F109" i="5383"/>
  <c r="G109" i="5383" s="1"/>
  <c r="G99" i="5383"/>
  <c r="F98" i="5383"/>
  <c r="G98" i="5383" s="1"/>
  <c r="G97" i="5383"/>
  <c r="F96" i="5383"/>
  <c r="G96" i="5383" s="1"/>
  <c r="G94" i="5383"/>
  <c r="G93" i="5383"/>
  <c r="G92" i="5383"/>
  <c r="F91" i="5383"/>
  <c r="G91" i="5383" s="1"/>
  <c r="G90" i="5383"/>
  <c r="F89" i="5383"/>
  <c r="G89" i="5383" s="1"/>
  <c r="F87" i="5383"/>
  <c r="G87" i="5383" s="1"/>
  <c r="F86" i="5383"/>
  <c r="G86" i="5383" s="1"/>
  <c r="G85" i="5383"/>
  <c r="F84" i="5383"/>
  <c r="G84" i="5383" s="1"/>
  <c r="G82" i="5383"/>
  <c r="F81" i="5383"/>
  <c r="G81" i="5383" s="1"/>
  <c r="G80" i="5383"/>
  <c r="G79" i="5383"/>
  <c r="G78" i="5383"/>
  <c r="M77" i="5383"/>
  <c r="M76" i="5383"/>
  <c r="G76" i="5383"/>
  <c r="K75" i="5383"/>
  <c r="M75" i="5383" s="1"/>
  <c r="F75" i="5383"/>
  <c r="G75" i="5383" s="1"/>
  <c r="M74" i="5383"/>
  <c r="F74" i="5383"/>
  <c r="G74" i="5383" s="1"/>
  <c r="M73" i="5383"/>
  <c r="G73" i="5383"/>
  <c r="M72" i="5383"/>
  <c r="M71" i="5383"/>
  <c r="G71" i="5383"/>
  <c r="M70" i="5383"/>
  <c r="F70" i="5383"/>
  <c r="G70" i="5383" s="1"/>
  <c r="M69" i="5383"/>
  <c r="G69" i="5383"/>
  <c r="M68" i="5383"/>
  <c r="G68" i="5383"/>
  <c r="M67" i="5383"/>
  <c r="L67" i="5383"/>
  <c r="F67" i="5383"/>
  <c r="G67" i="5383" s="1"/>
  <c r="U123" i="5383"/>
  <c r="M66" i="5383"/>
  <c r="F66" i="5383"/>
  <c r="G66" i="5383" s="1"/>
  <c r="T122" i="5383"/>
  <c r="U122" i="5383" s="1"/>
  <c r="L65" i="5383"/>
  <c r="M65" i="5383" s="1"/>
  <c r="G65" i="5383"/>
  <c r="U121" i="5383"/>
  <c r="M64" i="5383"/>
  <c r="F64" i="5383"/>
  <c r="G64" i="5383" s="1"/>
  <c r="J92" i="5383"/>
  <c r="M63" i="5383"/>
  <c r="U119" i="5383"/>
  <c r="M62" i="5383"/>
  <c r="G62" i="5383"/>
  <c r="T118" i="5383"/>
  <c r="U118" i="5383" s="1"/>
  <c r="M61" i="5383"/>
  <c r="G61" i="5383"/>
  <c r="U117" i="5383"/>
  <c r="L60" i="5383"/>
  <c r="M60" i="5383" s="1"/>
  <c r="G60" i="5383"/>
  <c r="T116" i="5383"/>
  <c r="U116" i="5383" s="1"/>
  <c r="M59" i="5383"/>
  <c r="F59" i="5383"/>
  <c r="G59" i="5383" s="1"/>
  <c r="M58" i="5383"/>
  <c r="G58" i="5383"/>
  <c r="U114" i="5383"/>
  <c r="M57" i="5383"/>
  <c r="F57" i="5383"/>
  <c r="G57" i="5383" s="1"/>
  <c r="U113" i="5383"/>
  <c r="L56" i="5383"/>
  <c r="M56" i="5383" s="1"/>
  <c r="U112" i="5383"/>
  <c r="L55" i="5383"/>
  <c r="M55" i="5383" s="1"/>
  <c r="G55" i="5383"/>
  <c r="T111" i="5383"/>
  <c r="U111" i="5383" s="1"/>
  <c r="L54" i="5383"/>
  <c r="M54" i="5383" s="1"/>
  <c r="F54" i="5383"/>
  <c r="G54" i="5383" s="1"/>
  <c r="U110" i="5383"/>
  <c r="L53" i="5383"/>
  <c r="M53" i="5383" s="1"/>
  <c r="F53" i="5383"/>
  <c r="G53" i="5383" s="1"/>
  <c r="T109" i="5383"/>
  <c r="U109" i="5383" s="1"/>
  <c r="L52" i="5383"/>
  <c r="M52" i="5383" s="1"/>
  <c r="G52" i="5383"/>
  <c r="M43" i="5383"/>
  <c r="G43" i="5383"/>
  <c r="M42" i="5383"/>
  <c r="G42" i="5383"/>
  <c r="K41" i="5383"/>
  <c r="M41" i="5383" s="1"/>
  <c r="G41" i="5383"/>
  <c r="M40" i="5383"/>
  <c r="G40" i="5383"/>
  <c r="M39" i="5383"/>
  <c r="M38" i="5383"/>
  <c r="G38" i="5383"/>
  <c r="M37" i="5383"/>
  <c r="F37" i="5383"/>
  <c r="G37" i="5383" s="1"/>
  <c r="M36" i="5383"/>
  <c r="G36" i="5383"/>
  <c r="M35" i="5383"/>
  <c r="G35" i="5383"/>
  <c r="M34" i="5383"/>
  <c r="G34" i="5383"/>
  <c r="M33" i="5383"/>
  <c r="G33" i="5383"/>
  <c r="M32" i="5383"/>
  <c r="L32" i="5383"/>
  <c r="G32" i="5383"/>
  <c r="M31" i="5383"/>
  <c r="G31" i="5383"/>
  <c r="L30" i="5383"/>
  <c r="M30" i="5383" s="1"/>
  <c r="M29" i="5383"/>
  <c r="M28" i="5383"/>
  <c r="M27" i="5383"/>
  <c r="M26" i="5383"/>
  <c r="L25" i="5383"/>
  <c r="M25" i="5383" s="1"/>
  <c r="G25" i="5383"/>
  <c r="M24" i="5383"/>
  <c r="F24" i="5383"/>
  <c r="G24" i="5383" s="1"/>
  <c r="M23" i="5383"/>
  <c r="G23" i="5383"/>
  <c r="M22" i="5383"/>
  <c r="M21" i="5383"/>
  <c r="M20" i="5383"/>
  <c r="M19" i="5383"/>
  <c r="M18" i="5383"/>
  <c r="M17" i="5383"/>
  <c r="M16" i="5383"/>
  <c r="M15" i="5383"/>
  <c r="M14" i="5383"/>
  <c r="G14" i="5383"/>
  <c r="M13" i="5383"/>
  <c r="G13" i="5383"/>
  <c r="M12" i="5383"/>
  <c r="G12" i="5383"/>
  <c r="M11" i="5383"/>
  <c r="G11" i="5383"/>
  <c r="M10" i="5383"/>
  <c r="G10" i="5383"/>
  <c r="M9" i="5383"/>
  <c r="F9" i="5383"/>
  <c r="G9" i="5383" s="1"/>
  <c r="L8" i="5383"/>
  <c r="M8" i="5383" s="1"/>
  <c r="L7" i="5383"/>
  <c r="M7" i="5383" s="1"/>
  <c r="G7" i="5383"/>
  <c r="L6" i="5383"/>
  <c r="M6" i="5383" s="1"/>
  <c r="G6" i="5383"/>
  <c r="M5" i="5383"/>
  <c r="G5" i="5383"/>
  <c r="L4" i="5383"/>
  <c r="M4" i="5383" s="1"/>
  <c r="G4" i="5383"/>
  <c r="G148" i="5383" l="1"/>
  <c r="M78" i="5383"/>
  <c r="G88" i="5383"/>
  <c r="N119" i="5383"/>
  <c r="U120" i="5383"/>
  <c r="G154" i="5383"/>
  <c r="G72" i="5383"/>
  <c r="G143" i="5383"/>
  <c r="G136" i="5383"/>
  <c r="G115" i="5383"/>
  <c r="U124" i="5383"/>
  <c r="G95" i="5383"/>
  <c r="G159" i="5383"/>
  <c r="U115" i="5383"/>
  <c r="G26" i="5383"/>
  <c r="G56" i="5383"/>
  <c r="G77" i="5383"/>
  <c r="G44" i="5383"/>
  <c r="G15" i="5383"/>
  <c r="G8" i="5383"/>
  <c r="G63" i="5383"/>
  <c r="N124" i="5383"/>
  <c r="I127" i="5383" s="1"/>
  <c r="M164" i="5383"/>
  <c r="B167" i="5383" s="1"/>
  <c r="M44" i="5383"/>
  <c r="G39" i="5383"/>
  <c r="G83" i="5383"/>
  <c r="G100" i="5383"/>
  <c r="G120" i="5383"/>
  <c r="B104" i="5383" l="1"/>
  <c r="B123" i="5383"/>
  <c r="P127" i="5383"/>
  <c r="B47" i="5383"/>
  <c r="E103" i="5377"/>
  <c r="E112" i="5375" s="1"/>
  <c r="E104" i="5377"/>
  <c r="E113" i="5375" s="1"/>
  <c r="E102" i="5377"/>
  <c r="E111" i="5375" s="1"/>
  <c r="E101" i="5377"/>
  <c r="E110" i="5375" s="1"/>
  <c r="E100" i="5377"/>
  <c r="E109" i="5375" s="1"/>
  <c r="E99" i="5377"/>
  <c r="E108" i="5375" s="1"/>
  <c r="E98" i="5377"/>
  <c r="E107" i="5375" s="1"/>
  <c r="E97" i="5377"/>
  <c r="E106" i="5375" s="1"/>
  <c r="E96" i="5377"/>
  <c r="E105" i="5375" s="1"/>
  <c r="E107" i="5377"/>
  <c r="E116" i="5375" s="1"/>
  <c r="E90" i="5377"/>
  <c r="E99" i="5375" s="1"/>
  <c r="E87" i="5377"/>
  <c r="E96" i="5375" s="1"/>
  <c r="E189" i="5377"/>
  <c r="E198" i="5375" s="1"/>
  <c r="E187" i="5377"/>
  <c r="E196" i="5375" s="1"/>
  <c r="E186" i="5377"/>
  <c r="E195" i="5375" s="1"/>
  <c r="E180" i="5375"/>
  <c r="E225" i="5377"/>
  <c r="E234" i="5375" s="1"/>
  <c r="E226" i="5377"/>
  <c r="E235" i="5375" s="1"/>
  <c r="E86" i="5377"/>
  <c r="E95" i="5375" s="1"/>
  <c r="E83" i="5377"/>
  <c r="E92" i="5375" s="1"/>
  <c r="E82" i="5377"/>
  <c r="E91" i="5375" s="1"/>
  <c r="E77" i="5377"/>
  <c r="E86" i="5375" s="1"/>
  <c r="E79" i="5377"/>
  <c r="E88" i="5375" s="1"/>
  <c r="E78" i="5377"/>
  <c r="E87" i="5375" s="1"/>
  <c r="E76" i="5377"/>
  <c r="E85" i="5375" s="1"/>
  <c r="E73" i="5377"/>
  <c r="E82" i="5375" s="1"/>
  <c r="E75" i="5377"/>
  <c r="E84" i="5375" s="1"/>
  <c r="E74" i="5377"/>
  <c r="E83" i="5375" s="1"/>
  <c r="E64" i="5377"/>
  <c r="E73" i="5375" s="1"/>
  <c r="E63" i="5377"/>
  <c r="E72" i="5375" s="1"/>
  <c r="E62" i="5377"/>
  <c r="E71" i="5375" s="1"/>
  <c r="E34" i="5377"/>
  <c r="E43" i="5375" s="1"/>
  <c r="E30" i="5377"/>
  <c r="E39" i="5375" s="1"/>
  <c r="E24" i="5377"/>
  <c r="E33" i="5375" s="1"/>
  <c r="E21" i="5377"/>
  <c r="E30" i="5375" s="1"/>
  <c r="E19" i="5377"/>
  <c r="E28" i="5375" s="1"/>
  <c r="E16" i="5377"/>
  <c r="E25" i="5375" s="1"/>
  <c r="E14" i="5377"/>
  <c r="E23" i="5375" s="1"/>
  <c r="G97" i="5375" l="1"/>
  <c r="E39" i="5377"/>
  <c r="E48" i="5375" s="1"/>
  <c r="E43" i="5377"/>
  <c r="E52" i="5375" s="1"/>
  <c r="E47" i="5377"/>
  <c r="E56" i="5375" s="1"/>
  <c r="E51" i="5377"/>
  <c r="E60" i="5375" s="1"/>
  <c r="E49" i="5377"/>
  <c r="E58" i="5375" s="1"/>
  <c r="E50" i="5377"/>
  <c r="E59" i="5375" s="1"/>
  <c r="A49" i="5377" l="1"/>
  <c r="B49" i="5377"/>
  <c r="A50" i="5377"/>
  <c r="B50" i="5377"/>
  <c r="C49" i="5377"/>
  <c r="F49" i="5377"/>
  <c r="C50" i="5377"/>
  <c r="F50" i="5377"/>
  <c r="A90" i="5377"/>
  <c r="B90" i="5377"/>
  <c r="C90" i="5377"/>
  <c r="F90" i="5377"/>
  <c r="A101" i="5377"/>
  <c r="B101" i="5377"/>
  <c r="A102" i="5377"/>
  <c r="B102" i="5377"/>
  <c r="C101" i="5377"/>
  <c r="F101" i="5377"/>
  <c r="C102" i="5377"/>
  <c r="F102" i="5377"/>
  <c r="G59" i="5375" l="1"/>
  <c r="H59" i="5375" s="1"/>
  <c r="G58" i="5375"/>
  <c r="H58" i="5375" s="1"/>
  <c r="G111" i="5375"/>
  <c r="H111" i="5375" s="1"/>
  <c r="G99" i="5375"/>
  <c r="H99" i="5375" s="1"/>
  <c r="G110" i="5375"/>
  <c r="H110" i="5375" s="1"/>
  <c r="E118" i="5377"/>
  <c r="E127" i="5375" s="1"/>
  <c r="E120" i="5377"/>
  <c r="E129" i="5375" s="1"/>
  <c r="E32" i="5384"/>
  <c r="E31" i="5384"/>
  <c r="E30" i="5384"/>
  <c r="E29" i="5384"/>
  <c r="C28" i="5384"/>
  <c r="E28" i="5384" s="1"/>
  <c r="E27" i="5384"/>
  <c r="E26" i="5384"/>
  <c r="E25" i="5384"/>
  <c r="E24" i="5384"/>
  <c r="E23" i="5384"/>
  <c r="E22" i="5384"/>
  <c r="E21" i="5384"/>
  <c r="E20" i="5384"/>
  <c r="E19" i="5384"/>
  <c r="E18" i="5384"/>
  <c r="E17" i="5384"/>
  <c r="E16" i="5384"/>
  <c r="E15" i="5384"/>
  <c r="E14" i="5384"/>
  <c r="E13" i="5384"/>
  <c r="E12" i="5384"/>
  <c r="E11" i="5384"/>
  <c r="E10" i="5384"/>
  <c r="E9" i="5384"/>
  <c r="E8" i="5384"/>
  <c r="E7" i="5384"/>
  <c r="E6" i="5384"/>
  <c r="E5" i="5384"/>
  <c r="E4" i="5384"/>
  <c r="E3" i="5384"/>
  <c r="E33" i="5384" l="1"/>
  <c r="A62" i="5377" l="1"/>
  <c r="B62" i="5377"/>
  <c r="C62" i="5377"/>
  <c r="F62" i="5377"/>
  <c r="G71" i="5375" l="1"/>
  <c r="H71" i="5375" s="1"/>
  <c r="A59" i="5377" l="1"/>
  <c r="B59" i="5377"/>
  <c r="C59" i="5377"/>
  <c r="F59" i="5377"/>
  <c r="G68" i="5375" l="1"/>
  <c r="H68" i="5375" s="1"/>
  <c r="A73" i="5377"/>
  <c r="B73" i="5377"/>
  <c r="C73" i="5377"/>
  <c r="F73" i="5377"/>
  <c r="G82" i="5375"/>
  <c r="H82" i="5375" s="1"/>
  <c r="A58" i="5377"/>
  <c r="B120" i="5377"/>
  <c r="A119" i="5377"/>
  <c r="A120" i="5377"/>
  <c r="A122" i="5377"/>
  <c r="A123" i="5377"/>
  <c r="C120" i="5377"/>
  <c r="F120" i="5377"/>
  <c r="G129" i="5375" l="1"/>
  <c r="H129" i="5375" s="1"/>
  <c r="A43" i="5377"/>
  <c r="B43" i="5377"/>
  <c r="C43" i="5377"/>
  <c r="F43" i="5377"/>
  <c r="G52" i="5375"/>
  <c r="H52" i="5375" s="1"/>
  <c r="G51" i="5375"/>
  <c r="H51" i="5375" s="1"/>
  <c r="A63" i="5377"/>
  <c r="B63" i="5377"/>
  <c r="C63" i="5377"/>
  <c r="F63" i="5377"/>
  <c r="G73" i="5375" l="1"/>
  <c r="H73" i="5375" s="1"/>
  <c r="G72" i="5375"/>
  <c r="H72" i="5375" s="1"/>
  <c r="C23" i="5377" l="1"/>
  <c r="C10" i="5377"/>
  <c r="G171" i="5375" l="1"/>
  <c r="H171" i="5375" s="1"/>
  <c r="A162" i="5377"/>
  <c r="B162" i="5377"/>
  <c r="C162" i="5377"/>
  <c r="F162" i="5377"/>
  <c r="A181" i="5377" l="1"/>
  <c r="B181" i="5377"/>
  <c r="C181" i="5377"/>
  <c r="F181" i="5377"/>
  <c r="G190" i="5375" l="1"/>
  <c r="E13" i="5375"/>
  <c r="A41" i="5377"/>
  <c r="B41" i="5377"/>
  <c r="C41" i="5377"/>
  <c r="F41" i="5377"/>
  <c r="A57" i="5377"/>
  <c r="B57" i="5377"/>
  <c r="C58" i="5377"/>
  <c r="F58" i="5377"/>
  <c r="H190" i="5375" l="1"/>
  <c r="G50" i="5375"/>
  <c r="H50" i="5375" s="1"/>
  <c r="G67" i="5375"/>
  <c r="H67" i="5375" s="1"/>
  <c r="A113" i="5377" l="1"/>
  <c r="B113" i="5377"/>
  <c r="C113" i="5377"/>
  <c r="F113" i="5377"/>
  <c r="G122" i="5375" l="1"/>
  <c r="H122" i="5375" s="1"/>
  <c r="A47" i="5377"/>
  <c r="B47" i="5377"/>
  <c r="C47" i="5377"/>
  <c r="F47" i="5377"/>
  <c r="G56" i="5375"/>
  <c r="H56" i="5375" s="1"/>
  <c r="A213" i="5377" l="1"/>
  <c r="B213" i="5377"/>
  <c r="F213" i="5377"/>
  <c r="C213" i="5377"/>
  <c r="A225" i="5377"/>
  <c r="B225" i="5377"/>
  <c r="C225" i="5377"/>
  <c r="F225" i="5377"/>
  <c r="A131" i="5377"/>
  <c r="B131" i="5377"/>
  <c r="C131" i="5377"/>
  <c r="F131" i="5377"/>
  <c r="A160" i="5377"/>
  <c r="B160" i="5377"/>
  <c r="C160" i="5377"/>
  <c r="F160" i="5377"/>
  <c r="A61" i="5377"/>
  <c r="B61" i="5377"/>
  <c r="C61" i="5377"/>
  <c r="F61" i="5377"/>
  <c r="A161" i="5377"/>
  <c r="B161" i="5377"/>
  <c r="C161" i="5377"/>
  <c r="F161" i="5377"/>
  <c r="A226" i="5377"/>
  <c r="B226" i="5377"/>
  <c r="C226" i="5377"/>
  <c r="F226" i="5377"/>
  <c r="G222" i="5375" l="1"/>
  <c r="G234" i="5375"/>
  <c r="H234" i="5375" s="1"/>
  <c r="G140" i="5375"/>
  <c r="H140" i="5375" s="1"/>
  <c r="G70" i="5375"/>
  <c r="H70" i="5375" s="1"/>
  <c r="G169" i="5375"/>
  <c r="H169" i="5375" s="1"/>
  <c r="G170" i="5375"/>
  <c r="H170" i="5375" s="1"/>
  <c r="G235" i="5375"/>
  <c r="H235" i="5375" s="1"/>
  <c r="F145" i="5377"/>
  <c r="F146" i="5377"/>
  <c r="A147" i="5377"/>
  <c r="B147" i="5377"/>
  <c r="A148" i="5377"/>
  <c r="B148" i="5377"/>
  <c r="A137" i="5377"/>
  <c r="B137" i="5377"/>
  <c r="A135" i="5377"/>
  <c r="B135" i="5377"/>
  <c r="A136" i="5377"/>
  <c r="B136" i="5377"/>
  <c r="A129" i="5377"/>
  <c r="B129" i="5377"/>
  <c r="A128" i="5377"/>
  <c r="B128" i="5377"/>
  <c r="A130" i="5377"/>
  <c r="B130" i="5377"/>
  <c r="A132" i="5377"/>
  <c r="B132" i="5377"/>
  <c r="A133" i="5377"/>
  <c r="B133" i="5377"/>
  <c r="A134" i="5377"/>
  <c r="B134" i="5377"/>
  <c r="A138" i="5377"/>
  <c r="B138" i="5377"/>
  <c r="A139" i="5377"/>
  <c r="B139" i="5377"/>
  <c r="A140" i="5377"/>
  <c r="B140" i="5377"/>
  <c r="A141" i="5377"/>
  <c r="B141" i="5377"/>
  <c r="A142" i="5377"/>
  <c r="B142" i="5377"/>
  <c r="A143" i="5377"/>
  <c r="B143" i="5377"/>
  <c r="A144" i="5377"/>
  <c r="B144" i="5377"/>
  <c r="A145" i="5377"/>
  <c r="B145" i="5377"/>
  <c r="C145" i="5377"/>
  <c r="A146" i="5377"/>
  <c r="B146" i="5377"/>
  <c r="C146" i="5377"/>
  <c r="A149" i="5377"/>
  <c r="B149" i="5377"/>
  <c r="A150" i="5377"/>
  <c r="B150" i="5377"/>
  <c r="A151" i="5377"/>
  <c r="B151" i="5377"/>
  <c r="A152" i="5377"/>
  <c r="B152" i="5377"/>
  <c r="A153" i="5377"/>
  <c r="B153" i="5377"/>
  <c r="A154" i="5377"/>
  <c r="B154" i="5377"/>
  <c r="A155" i="5377"/>
  <c r="B155" i="5377"/>
  <c r="A156" i="5377"/>
  <c r="B156" i="5377"/>
  <c r="A157" i="5377"/>
  <c r="B157" i="5377"/>
  <c r="A158" i="5377"/>
  <c r="B158" i="5377"/>
  <c r="A159" i="5377"/>
  <c r="B159" i="5377"/>
  <c r="C137" i="5377"/>
  <c r="F137" i="5377"/>
  <c r="C135" i="5377"/>
  <c r="F135" i="5377"/>
  <c r="C136" i="5377"/>
  <c r="F136" i="5377"/>
  <c r="F148" i="5377"/>
  <c r="F147" i="5377"/>
  <c r="C129" i="5377"/>
  <c r="F129" i="5377"/>
  <c r="C148" i="5377"/>
  <c r="C147" i="5377"/>
  <c r="H222" i="5375" l="1"/>
  <c r="G146" i="5375"/>
  <c r="H146" i="5375" s="1"/>
  <c r="G156" i="5375"/>
  <c r="H156" i="5375" s="1"/>
  <c r="G144" i="5375"/>
  <c r="H144" i="5375" s="1"/>
  <c r="G157" i="5375"/>
  <c r="H157" i="5375" s="1"/>
  <c r="G145" i="5375"/>
  <c r="H145" i="5375" s="1"/>
  <c r="G138" i="5375"/>
  <c r="H138" i="5375" s="1"/>
  <c r="G154" i="5375"/>
  <c r="H154" i="5375" s="1"/>
  <c r="G155" i="5375"/>
  <c r="H155" i="5375" s="1"/>
  <c r="C139" i="5377"/>
  <c r="F139" i="5377"/>
  <c r="C140" i="5377"/>
  <c r="F140" i="5377"/>
  <c r="C156" i="5377"/>
  <c r="F156" i="5377"/>
  <c r="C157" i="5377"/>
  <c r="F157" i="5377"/>
  <c r="C158" i="5377"/>
  <c r="F158" i="5377"/>
  <c r="C159" i="5377"/>
  <c r="F159" i="5377"/>
  <c r="C150" i="5377"/>
  <c r="F150" i="5377"/>
  <c r="C151" i="5377"/>
  <c r="F151" i="5377"/>
  <c r="C152" i="5377"/>
  <c r="F152" i="5377"/>
  <c r="C153" i="5377"/>
  <c r="F153" i="5377"/>
  <c r="C154" i="5377"/>
  <c r="F154" i="5377"/>
  <c r="C155" i="5377"/>
  <c r="F155" i="5377"/>
  <c r="G149" i="5375" l="1"/>
  <c r="H149" i="5375" s="1"/>
  <c r="G148" i="5375"/>
  <c r="H148" i="5375" s="1"/>
  <c r="G164" i="5375"/>
  <c r="H164" i="5375" s="1"/>
  <c r="G162" i="5375"/>
  <c r="H162" i="5375" s="1"/>
  <c r="G166" i="5375"/>
  <c r="H166" i="5375" s="1"/>
  <c r="G160" i="5375"/>
  <c r="H160" i="5375" s="1"/>
  <c r="G168" i="5375"/>
  <c r="H168" i="5375" s="1"/>
  <c r="G161" i="5375"/>
  <c r="H161" i="5375" s="1"/>
  <c r="G167" i="5375"/>
  <c r="H167" i="5375" s="1"/>
  <c r="G163" i="5375"/>
  <c r="H163" i="5375" s="1"/>
  <c r="G159" i="5375"/>
  <c r="H159" i="5375" s="1"/>
  <c r="G165" i="5375"/>
  <c r="H165" i="5375" s="1"/>
  <c r="A126" i="5377"/>
  <c r="C126" i="5377"/>
  <c r="A127" i="5377"/>
  <c r="B127" i="5377"/>
  <c r="C149" i="5377"/>
  <c r="F149" i="5377"/>
  <c r="G158" i="5375"/>
  <c r="H158" i="5375" s="1"/>
  <c r="C127" i="5377"/>
  <c r="F127" i="5377"/>
  <c r="G136" i="5375"/>
  <c r="C128" i="5377"/>
  <c r="F128" i="5377"/>
  <c r="G137" i="5375"/>
  <c r="H137" i="5375" s="1"/>
  <c r="C130" i="5377"/>
  <c r="F130" i="5377"/>
  <c r="G139" i="5375"/>
  <c r="H139" i="5375" s="1"/>
  <c r="C132" i="5377"/>
  <c r="F132" i="5377"/>
  <c r="G141" i="5375"/>
  <c r="H141" i="5375" s="1"/>
  <c r="C133" i="5377"/>
  <c r="F133" i="5377"/>
  <c r="G142" i="5375"/>
  <c r="H142" i="5375" s="1"/>
  <c r="C134" i="5377"/>
  <c r="F134" i="5377"/>
  <c r="G143" i="5375"/>
  <c r="H143" i="5375" s="1"/>
  <c r="C138" i="5377"/>
  <c r="F138" i="5377"/>
  <c r="G147" i="5375"/>
  <c r="H147" i="5375" s="1"/>
  <c r="C141" i="5377"/>
  <c r="F141" i="5377"/>
  <c r="G150" i="5375"/>
  <c r="H150" i="5375" s="1"/>
  <c r="C142" i="5377"/>
  <c r="F142" i="5377"/>
  <c r="G151" i="5375"/>
  <c r="H151" i="5375" s="1"/>
  <c r="C143" i="5377"/>
  <c r="F143" i="5377"/>
  <c r="G152" i="5375"/>
  <c r="H152" i="5375" s="1"/>
  <c r="C144" i="5377"/>
  <c r="F144" i="5377"/>
  <c r="G153" i="5375"/>
  <c r="A89" i="5377"/>
  <c r="B89" i="5377"/>
  <c r="C89" i="5377"/>
  <c r="F89" i="5377"/>
  <c r="G172" i="5375" l="1"/>
  <c r="H136" i="5375"/>
  <c r="H153" i="5375"/>
  <c r="G98" i="5375"/>
  <c r="A98" i="5377"/>
  <c r="B98" i="5377"/>
  <c r="C98" i="5377"/>
  <c r="F98" i="5377"/>
  <c r="B97" i="5377"/>
  <c r="A97" i="5377"/>
  <c r="H172" i="5375" l="1"/>
  <c r="H98" i="5375"/>
  <c r="G107" i="5375"/>
  <c r="H107" i="5375" s="1"/>
  <c r="A221" i="5377" l="1"/>
  <c r="B221" i="5377"/>
  <c r="C221" i="5377"/>
  <c r="F221" i="5377"/>
  <c r="C81" i="5377"/>
  <c r="F81" i="5377"/>
  <c r="A81" i="5377"/>
  <c r="B81" i="5377"/>
  <c r="G230" i="5375" l="1"/>
  <c r="H230" i="5375" s="1"/>
  <c r="G90" i="5375"/>
  <c r="H90" i="5375" s="1"/>
  <c r="B123" i="5377" l="1"/>
  <c r="C123" i="5377"/>
  <c r="F123" i="5377"/>
  <c r="G132" i="5375" l="1"/>
  <c r="H132" i="5375" s="1"/>
  <c r="A83" i="5377"/>
  <c r="B83" i="5377"/>
  <c r="C83" i="5377"/>
  <c r="F83" i="5377"/>
  <c r="G92" i="5375" l="1"/>
  <c r="H92" i="5375" s="1"/>
  <c r="G116" i="5375"/>
  <c r="H116" i="5375" s="1"/>
  <c r="A198" i="5377"/>
  <c r="B198" i="5377"/>
  <c r="C198" i="5377"/>
  <c r="F198" i="5377"/>
  <c r="G207" i="5375" l="1"/>
  <c r="H207" i="5375" s="1"/>
  <c r="A211" i="5377"/>
  <c r="B211" i="5377"/>
  <c r="C211" i="5377"/>
  <c r="F211" i="5377"/>
  <c r="G220" i="5375"/>
  <c r="H220" i="5375" s="1"/>
  <c r="A194" i="5377"/>
  <c r="A195" i="5377"/>
  <c r="A196" i="5377"/>
  <c r="A197" i="5377"/>
  <c r="A199" i="5377"/>
  <c r="A200" i="5377"/>
  <c r="A201" i="5377"/>
  <c r="A202" i="5377"/>
  <c r="F107" i="5377"/>
  <c r="F212" i="5377"/>
  <c r="A227" i="5377"/>
  <c r="B227" i="5377"/>
  <c r="A228" i="5377"/>
  <c r="B228" i="5377"/>
  <c r="A229" i="5377"/>
  <c r="B229" i="5377"/>
  <c r="A230" i="5377"/>
  <c r="B230" i="5377"/>
  <c r="A180" i="5377"/>
  <c r="C180" i="5377"/>
  <c r="A182" i="5377"/>
  <c r="B182" i="5377"/>
  <c r="A183" i="5377"/>
  <c r="B183" i="5377"/>
  <c r="A184" i="5377"/>
  <c r="B184" i="5377"/>
  <c r="A185" i="5377"/>
  <c r="B185" i="5377"/>
  <c r="A186" i="5377"/>
  <c r="B186" i="5377"/>
  <c r="A187" i="5377"/>
  <c r="B187" i="5377"/>
  <c r="A188" i="5377"/>
  <c r="B188" i="5377"/>
  <c r="A189" i="5377"/>
  <c r="B189" i="5377"/>
  <c r="A190" i="5377"/>
  <c r="B190" i="5377"/>
  <c r="A191" i="5377"/>
  <c r="B191" i="5377"/>
  <c r="C194" i="5377"/>
  <c r="B195" i="5377"/>
  <c r="B196" i="5377"/>
  <c r="B197" i="5377"/>
  <c r="B199" i="5377"/>
  <c r="B200" i="5377"/>
  <c r="B201" i="5377"/>
  <c r="B202" i="5377"/>
  <c r="A203" i="5377"/>
  <c r="B203" i="5377"/>
  <c r="A204" i="5377"/>
  <c r="B204" i="5377"/>
  <c r="A207" i="5377"/>
  <c r="C207" i="5377"/>
  <c r="A208" i="5377"/>
  <c r="B208" i="5377"/>
  <c r="A209" i="5377"/>
  <c r="B209" i="5377"/>
  <c r="A210" i="5377"/>
  <c r="B210" i="5377"/>
  <c r="A212" i="5377"/>
  <c r="B212" i="5377"/>
  <c r="C212" i="5377"/>
  <c r="A216" i="5377"/>
  <c r="C216" i="5377"/>
  <c r="A217" i="5377"/>
  <c r="B217" i="5377"/>
  <c r="A218" i="5377"/>
  <c r="B218" i="5377"/>
  <c r="A219" i="5377"/>
  <c r="B219" i="5377"/>
  <c r="A220" i="5377"/>
  <c r="B220" i="5377"/>
  <c r="A224" i="5377"/>
  <c r="C224" i="5377"/>
  <c r="A4" i="5377"/>
  <c r="B4" i="5377"/>
  <c r="A5" i="5377"/>
  <c r="B5" i="5377"/>
  <c r="A8" i="5377"/>
  <c r="C8" i="5377"/>
  <c r="A9" i="5377"/>
  <c r="B9" i="5377"/>
  <c r="A10" i="5377"/>
  <c r="B10" i="5377"/>
  <c r="A11" i="5377"/>
  <c r="B11" i="5377"/>
  <c r="A12" i="5377"/>
  <c r="B12" i="5377"/>
  <c r="A13" i="5377"/>
  <c r="B13" i="5377"/>
  <c r="A14" i="5377"/>
  <c r="B14" i="5377"/>
  <c r="A15" i="5377"/>
  <c r="B15" i="5377"/>
  <c r="A16" i="5377"/>
  <c r="B16" i="5377"/>
  <c r="A17" i="5377"/>
  <c r="B17" i="5377"/>
  <c r="A18" i="5377"/>
  <c r="B18" i="5377"/>
  <c r="A19" i="5377"/>
  <c r="B19" i="5377"/>
  <c r="A20" i="5377"/>
  <c r="B20" i="5377"/>
  <c r="A21" i="5377"/>
  <c r="B21" i="5377"/>
  <c r="A22" i="5377"/>
  <c r="B22" i="5377"/>
  <c r="A23" i="5377"/>
  <c r="B23" i="5377"/>
  <c r="A24" i="5377"/>
  <c r="B24" i="5377"/>
  <c r="A25" i="5377"/>
  <c r="B25" i="5377"/>
  <c r="A26" i="5377"/>
  <c r="B26" i="5377"/>
  <c r="A27" i="5377"/>
  <c r="B27" i="5377"/>
  <c r="A28" i="5377"/>
  <c r="B28" i="5377"/>
  <c r="A29" i="5377"/>
  <c r="B29" i="5377"/>
  <c r="A30" i="5377"/>
  <c r="B30" i="5377"/>
  <c r="A31" i="5377"/>
  <c r="B31" i="5377"/>
  <c r="A32" i="5377"/>
  <c r="B32" i="5377"/>
  <c r="A33" i="5377"/>
  <c r="B33" i="5377"/>
  <c r="A34" i="5377"/>
  <c r="B34" i="5377"/>
  <c r="A35" i="5377"/>
  <c r="B35" i="5377"/>
  <c r="A38" i="5377"/>
  <c r="C38" i="5377"/>
  <c r="A39" i="5377"/>
  <c r="B39" i="5377"/>
  <c r="A40" i="5377"/>
  <c r="B40" i="5377"/>
  <c r="A42" i="5377"/>
  <c r="B42" i="5377"/>
  <c r="A46" i="5377"/>
  <c r="C46" i="5377"/>
  <c r="A48" i="5377"/>
  <c r="B48" i="5377"/>
  <c r="A51" i="5377"/>
  <c r="B51" i="5377"/>
  <c r="A54" i="5377"/>
  <c r="C54" i="5377"/>
  <c r="A55" i="5377"/>
  <c r="B55" i="5377"/>
  <c r="A56" i="5377"/>
  <c r="B56" i="5377"/>
  <c r="B58" i="5377"/>
  <c r="A60" i="5377"/>
  <c r="B60" i="5377"/>
  <c r="A64" i="5377"/>
  <c r="B64" i="5377"/>
  <c r="A65" i="5377"/>
  <c r="B65" i="5377"/>
  <c r="A68" i="5377"/>
  <c r="C68" i="5377"/>
  <c r="A69" i="5377"/>
  <c r="B69" i="5377"/>
  <c r="A70" i="5377"/>
  <c r="B70" i="5377"/>
  <c r="A71" i="5377"/>
  <c r="B71" i="5377"/>
  <c r="A72" i="5377"/>
  <c r="B72" i="5377"/>
  <c r="A74" i="5377"/>
  <c r="B74" i="5377"/>
  <c r="A75" i="5377"/>
  <c r="B75" i="5377"/>
  <c r="A76" i="5377"/>
  <c r="B76" i="5377"/>
  <c r="A77" i="5377"/>
  <c r="B77" i="5377"/>
  <c r="A78" i="5377"/>
  <c r="B78" i="5377"/>
  <c r="A79" i="5377"/>
  <c r="B79" i="5377"/>
  <c r="A80" i="5377"/>
  <c r="B80" i="5377"/>
  <c r="A82" i="5377"/>
  <c r="B82" i="5377"/>
  <c r="A84" i="5377"/>
  <c r="B84" i="5377"/>
  <c r="A85" i="5377"/>
  <c r="B85" i="5377"/>
  <c r="A86" i="5377"/>
  <c r="B86" i="5377"/>
  <c r="A87" i="5377"/>
  <c r="B87" i="5377"/>
  <c r="A88" i="5377"/>
  <c r="B88" i="5377"/>
  <c r="A93" i="5377"/>
  <c r="C93" i="5377"/>
  <c r="A94" i="5377"/>
  <c r="B94" i="5377"/>
  <c r="A95" i="5377"/>
  <c r="B95" i="5377"/>
  <c r="A96" i="5377"/>
  <c r="B96" i="5377"/>
  <c r="A99" i="5377"/>
  <c r="B99" i="5377"/>
  <c r="A100" i="5377"/>
  <c r="B100" i="5377"/>
  <c r="A103" i="5377"/>
  <c r="B103" i="5377"/>
  <c r="A104" i="5377"/>
  <c r="B104" i="5377"/>
  <c r="A105" i="5377"/>
  <c r="B105" i="5377"/>
  <c r="A106" i="5377"/>
  <c r="B106" i="5377"/>
  <c r="A107" i="5377"/>
  <c r="B107" i="5377"/>
  <c r="C107" i="5377"/>
  <c r="A110" i="5377"/>
  <c r="C110" i="5377"/>
  <c r="A111" i="5377"/>
  <c r="B111" i="5377"/>
  <c r="A112" i="5377"/>
  <c r="B112" i="5377"/>
  <c r="A114" i="5377"/>
  <c r="B114" i="5377"/>
  <c r="A117" i="5377"/>
  <c r="C117" i="5377"/>
  <c r="A118" i="5377"/>
  <c r="B118" i="5377"/>
  <c r="B119" i="5377"/>
  <c r="B122" i="5377"/>
  <c r="A165" i="5377"/>
  <c r="C165" i="5377"/>
  <c r="A166" i="5377"/>
  <c r="B166" i="5377"/>
  <c r="A167" i="5377"/>
  <c r="B167" i="5377"/>
  <c r="A168" i="5377"/>
  <c r="B168" i="5377"/>
  <c r="A169" i="5377"/>
  <c r="B169" i="5377"/>
  <c r="A170" i="5377"/>
  <c r="B170" i="5377"/>
  <c r="A171" i="5377"/>
  <c r="B171" i="5377"/>
  <c r="A172" i="5377"/>
  <c r="B172" i="5377"/>
  <c r="A173" i="5377"/>
  <c r="B173" i="5377"/>
  <c r="A174" i="5377"/>
  <c r="B174" i="5377"/>
  <c r="A175" i="5377"/>
  <c r="B175" i="5377"/>
  <c r="A176" i="5377"/>
  <c r="B176" i="5377"/>
  <c r="A177" i="5377"/>
  <c r="B177" i="5377"/>
  <c r="C3" i="5377"/>
  <c r="A3" i="5377"/>
  <c r="C218" i="5377"/>
  <c r="F218" i="5377"/>
  <c r="G227" i="5375"/>
  <c r="H227" i="5375" s="1"/>
  <c r="C219" i="5377"/>
  <c r="F219" i="5377"/>
  <c r="G228" i="5375"/>
  <c r="H228" i="5375" s="1"/>
  <c r="C220" i="5377"/>
  <c r="F220" i="5377"/>
  <c r="G229" i="5375"/>
  <c r="H229" i="5375" s="1"/>
  <c r="G226" i="5375"/>
  <c r="F217" i="5377"/>
  <c r="C217" i="5377"/>
  <c r="G239" i="5375"/>
  <c r="H239" i="5375" s="1"/>
  <c r="F230" i="5377"/>
  <c r="C230" i="5377"/>
  <c r="G238" i="5375"/>
  <c r="H238" i="5375" s="1"/>
  <c r="F229" i="5377"/>
  <c r="C229" i="5377"/>
  <c r="G237" i="5375"/>
  <c r="H237" i="5375" s="1"/>
  <c r="F228" i="5377"/>
  <c r="C228" i="5377"/>
  <c r="G236" i="5375"/>
  <c r="F227" i="5377"/>
  <c r="C227" i="5377"/>
  <c r="H236" i="5375" l="1"/>
  <c r="H240" i="5375" s="1"/>
  <c r="G240" i="5375"/>
  <c r="G231" i="5375"/>
  <c r="H226" i="5375"/>
  <c r="H231" i="5375" s="1"/>
  <c r="C84" i="5377"/>
  <c r="F84" i="5377"/>
  <c r="G93" i="5375"/>
  <c r="H93" i="5375" s="1"/>
  <c r="G221" i="5375"/>
  <c r="H221" i="5375" s="1"/>
  <c r="F114" i="5377" l="1"/>
  <c r="F112" i="5377"/>
  <c r="F111" i="5377"/>
  <c r="F106" i="5377"/>
  <c r="F105" i="5377"/>
  <c r="F104" i="5377"/>
  <c r="F103" i="5377"/>
  <c r="F100" i="5377"/>
  <c r="F99" i="5377"/>
  <c r="F96" i="5377"/>
  <c r="F95" i="5377"/>
  <c r="F94" i="5377"/>
  <c r="F97" i="5377" l="1"/>
  <c r="F122" i="5377"/>
  <c r="C122" i="5377"/>
  <c r="C119" i="5377"/>
  <c r="F119" i="5377"/>
  <c r="G128" i="5375"/>
  <c r="H128" i="5375" s="1"/>
  <c r="C88" i="5377"/>
  <c r="F88" i="5377"/>
  <c r="C104" i="5377"/>
  <c r="C99" i="5377"/>
  <c r="C100" i="5377"/>
  <c r="C103" i="5377"/>
  <c r="G112" i="5375"/>
  <c r="H112" i="5375" s="1"/>
  <c r="C97" i="5377"/>
  <c r="G106" i="5375"/>
  <c r="H106" i="5375" s="1"/>
  <c r="C69" i="5377"/>
  <c r="F69" i="5377"/>
  <c r="C70" i="5377"/>
  <c r="F70" i="5377"/>
  <c r="G79" i="5375"/>
  <c r="H79" i="5375" s="1"/>
  <c r="C71" i="5377"/>
  <c r="F71" i="5377"/>
  <c r="G80" i="5375"/>
  <c r="H80" i="5375" s="1"/>
  <c r="C55" i="5377"/>
  <c r="F55" i="5377"/>
  <c r="G64" i="5375"/>
  <c r="C56" i="5377"/>
  <c r="F56" i="5377"/>
  <c r="G65" i="5375"/>
  <c r="H65" i="5375" s="1"/>
  <c r="C57" i="5377"/>
  <c r="F57" i="5377"/>
  <c r="G66" i="5375"/>
  <c r="H66" i="5375" s="1"/>
  <c r="C60" i="5377"/>
  <c r="F60" i="5377"/>
  <c r="G69" i="5375"/>
  <c r="H69" i="5375" s="1"/>
  <c r="C39" i="5377"/>
  <c r="F39" i="5377"/>
  <c r="C40" i="5377"/>
  <c r="F40" i="5377"/>
  <c r="C14" i="5377"/>
  <c r="F14" i="5377"/>
  <c r="C15" i="5377"/>
  <c r="F15" i="5377"/>
  <c r="C12" i="5377"/>
  <c r="F12" i="5377"/>
  <c r="F10" i="5377"/>
  <c r="C11" i="5377"/>
  <c r="F11" i="5377"/>
  <c r="C13" i="5377"/>
  <c r="F13" i="5377"/>
  <c r="F9" i="5377"/>
  <c r="C9" i="5377"/>
  <c r="C17" i="5377"/>
  <c r="F17" i="5377"/>
  <c r="C16" i="5377"/>
  <c r="F16" i="5377"/>
  <c r="C27" i="5377"/>
  <c r="F27" i="5377"/>
  <c r="C26" i="5377"/>
  <c r="F26" i="5377"/>
  <c r="C28" i="5377"/>
  <c r="C29" i="5377"/>
  <c r="F29" i="5377"/>
  <c r="C30" i="5377"/>
  <c r="F30" i="5377"/>
  <c r="C87" i="5377"/>
  <c r="F87" i="5377"/>
  <c r="C78" i="5377"/>
  <c r="F78" i="5377"/>
  <c r="C79" i="5377"/>
  <c r="F79" i="5377"/>
  <c r="H64" i="5375" l="1"/>
  <c r="G108" i="5375"/>
  <c r="H108" i="5375" s="1"/>
  <c r="G113" i="5375"/>
  <c r="H113" i="5375" s="1"/>
  <c r="H97" i="5375"/>
  <c r="G131" i="5375"/>
  <c r="H131" i="5375" s="1"/>
  <c r="G78" i="5375"/>
  <c r="G88" i="5375"/>
  <c r="H88" i="5375" s="1"/>
  <c r="G87" i="5375"/>
  <c r="H87" i="5375" s="1"/>
  <c r="G96" i="5375"/>
  <c r="H96" i="5375" s="1"/>
  <c r="G19" i="5375"/>
  <c r="H19" i="5375" s="1"/>
  <c r="G21" i="5375"/>
  <c r="H21" i="5375" s="1"/>
  <c r="G24" i="5375"/>
  <c r="H24" i="5375" s="1"/>
  <c r="G23" i="5375"/>
  <c r="H23" i="5375" s="1"/>
  <c r="G49" i="5375"/>
  <c r="H49" i="5375" s="1"/>
  <c r="G48" i="5375"/>
  <c r="G18" i="5375"/>
  <c r="G22" i="5375"/>
  <c r="H22" i="5375" s="1"/>
  <c r="G20" i="5375"/>
  <c r="H20" i="5375" s="1"/>
  <c r="G39" i="5375"/>
  <c r="H39" i="5375" s="1"/>
  <c r="G38" i="5375"/>
  <c r="H38" i="5375" s="1"/>
  <c r="G37" i="5375"/>
  <c r="H37" i="5375" s="1"/>
  <c r="G35" i="5375"/>
  <c r="H35" i="5375" s="1"/>
  <c r="G36" i="5375"/>
  <c r="H36" i="5375" s="1"/>
  <c r="G25" i="5375"/>
  <c r="H25" i="5375" s="1"/>
  <c r="G26" i="5375"/>
  <c r="H26" i="5375" s="1"/>
  <c r="C25" i="5377"/>
  <c r="F25" i="5377"/>
  <c r="C76" i="5377"/>
  <c r="F76" i="5377"/>
  <c r="G85" i="5375"/>
  <c r="H85" i="5375" s="1"/>
  <c r="C77" i="5377"/>
  <c r="F77" i="5377"/>
  <c r="C82" i="5377"/>
  <c r="F82" i="5377"/>
  <c r="C204" i="5377"/>
  <c r="F204" i="5377"/>
  <c r="G53" i="5375" l="1"/>
  <c r="H48" i="5375"/>
  <c r="H53" i="5375" s="1"/>
  <c r="H18" i="5375"/>
  <c r="H78" i="5375"/>
  <c r="G34" i="5375"/>
  <c r="H34" i="5375" s="1"/>
  <c r="G86" i="5375"/>
  <c r="H86" i="5375" s="1"/>
  <c r="G91" i="5375"/>
  <c r="H91" i="5375" s="1"/>
  <c r="G213" i="5375"/>
  <c r="H213" i="5375" s="1"/>
  <c r="C114" i="5377"/>
  <c r="C112" i="5377"/>
  <c r="C111" i="5377"/>
  <c r="G120" i="5375" l="1"/>
  <c r="G121" i="5375"/>
  <c r="H121" i="5375" s="1"/>
  <c r="G123" i="5375"/>
  <c r="H123" i="5375" s="1"/>
  <c r="F210" i="5377"/>
  <c r="C210" i="5377"/>
  <c r="F209" i="5377"/>
  <c r="C209" i="5377"/>
  <c r="F208" i="5377"/>
  <c r="C208" i="5377"/>
  <c r="C191" i="5377"/>
  <c r="F191" i="5377"/>
  <c r="C177" i="5377"/>
  <c r="F177" i="5377"/>
  <c r="F203" i="5377"/>
  <c r="C203" i="5377"/>
  <c r="F202" i="5377"/>
  <c r="C202" i="5377"/>
  <c r="F201" i="5377"/>
  <c r="C201" i="5377"/>
  <c r="F200" i="5377"/>
  <c r="C200" i="5377"/>
  <c r="F199" i="5377"/>
  <c r="C199" i="5377"/>
  <c r="F197" i="5377"/>
  <c r="C197" i="5377"/>
  <c r="F196" i="5377"/>
  <c r="C196" i="5377"/>
  <c r="F195" i="5377"/>
  <c r="C195" i="5377"/>
  <c r="H120" i="5375" l="1"/>
  <c r="H124" i="5375" s="1"/>
  <c r="G124" i="5375"/>
  <c r="G205" i="5375"/>
  <c r="H205" i="5375" s="1"/>
  <c r="G208" i="5375"/>
  <c r="H208" i="5375" s="1"/>
  <c r="G217" i="5375"/>
  <c r="G210" i="5375"/>
  <c r="H210" i="5375" s="1"/>
  <c r="G212" i="5375"/>
  <c r="H212" i="5375" s="1"/>
  <c r="G218" i="5375"/>
  <c r="H218" i="5375" s="1"/>
  <c r="G219" i="5375"/>
  <c r="H219" i="5375" s="1"/>
  <c r="G186" i="5375"/>
  <c r="H186" i="5375" s="1"/>
  <c r="G200" i="5375"/>
  <c r="H200" i="5375" s="1"/>
  <c r="G211" i="5375"/>
  <c r="H211" i="5375" s="1"/>
  <c r="G204" i="5375"/>
  <c r="G209" i="5375"/>
  <c r="H209" i="5375" s="1"/>
  <c r="G206" i="5375"/>
  <c r="H206" i="5375" s="1"/>
  <c r="F190" i="5377"/>
  <c r="C190" i="5377"/>
  <c r="F189" i="5377"/>
  <c r="C189" i="5377"/>
  <c r="F188" i="5377"/>
  <c r="C188" i="5377"/>
  <c r="F187" i="5377"/>
  <c r="C187" i="5377"/>
  <c r="F186" i="5377"/>
  <c r="C186" i="5377"/>
  <c r="F185" i="5377"/>
  <c r="C185" i="5377"/>
  <c r="F184" i="5377"/>
  <c r="C184" i="5377"/>
  <c r="F183" i="5377"/>
  <c r="C183" i="5377"/>
  <c r="F182" i="5377"/>
  <c r="C182" i="5377"/>
  <c r="F166" i="5377"/>
  <c r="C166" i="5377"/>
  <c r="C105" i="5377"/>
  <c r="C106" i="5377"/>
  <c r="G223" i="5375" l="1"/>
  <c r="H204" i="5375"/>
  <c r="H214" i="5375" s="1"/>
  <c r="G214" i="5375"/>
  <c r="H217" i="5375"/>
  <c r="G191" i="5375"/>
  <c r="G197" i="5375"/>
  <c r="H197" i="5375" s="1"/>
  <c r="G199" i="5375"/>
  <c r="H199" i="5375" s="1"/>
  <c r="G192" i="5375"/>
  <c r="H192" i="5375" s="1"/>
  <c r="G193" i="5375"/>
  <c r="G194" i="5375"/>
  <c r="H194" i="5375" s="1"/>
  <c r="G195" i="5375"/>
  <c r="H195" i="5375" s="1"/>
  <c r="G196" i="5375"/>
  <c r="H196" i="5375" s="1"/>
  <c r="G198" i="5375"/>
  <c r="H198" i="5375" s="1"/>
  <c r="G114" i="5375"/>
  <c r="H114" i="5375" s="1"/>
  <c r="G115" i="5375"/>
  <c r="H115" i="5375" s="1"/>
  <c r="G175" i="5375"/>
  <c r="C96" i="5377"/>
  <c r="C176" i="5377"/>
  <c r="F176" i="5377"/>
  <c r="C174" i="5377"/>
  <c r="F174" i="5377"/>
  <c r="C171" i="5377"/>
  <c r="F171" i="5377"/>
  <c r="C172" i="5377"/>
  <c r="F172" i="5377"/>
  <c r="C173" i="5377"/>
  <c r="F173" i="5377"/>
  <c r="C175" i="5377"/>
  <c r="F175" i="5377"/>
  <c r="C168" i="5377"/>
  <c r="F168" i="5377"/>
  <c r="C169" i="5377"/>
  <c r="F169" i="5377"/>
  <c r="C170" i="5377"/>
  <c r="F170" i="5377"/>
  <c r="F167" i="5377"/>
  <c r="C167" i="5377"/>
  <c r="G201" i="5375" l="1"/>
  <c r="H223" i="5375"/>
  <c r="H175" i="5375"/>
  <c r="H191" i="5375"/>
  <c r="H193" i="5375"/>
  <c r="G182" i="5375"/>
  <c r="H182" i="5375" s="1"/>
  <c r="G185" i="5375"/>
  <c r="H185" i="5375" s="1"/>
  <c r="G183" i="5375"/>
  <c r="H183" i="5375" s="1"/>
  <c r="G180" i="5375"/>
  <c r="H180" i="5375" s="1"/>
  <c r="G181" i="5375"/>
  <c r="G184" i="5375"/>
  <c r="H184" i="5375" s="1"/>
  <c r="G179" i="5375"/>
  <c r="H179" i="5375" s="1"/>
  <c r="G177" i="5375"/>
  <c r="H177" i="5375" s="1"/>
  <c r="G178" i="5375"/>
  <c r="H178" i="5375" s="1"/>
  <c r="G176" i="5375"/>
  <c r="H176" i="5375" s="1"/>
  <c r="C95" i="5377"/>
  <c r="C94" i="5377"/>
  <c r="C118" i="5377"/>
  <c r="F118" i="5377"/>
  <c r="H201" i="5375" l="1"/>
  <c r="G187" i="5375"/>
  <c r="H181" i="5375"/>
  <c r="H187" i="5375" s="1"/>
  <c r="G104" i="5375"/>
  <c r="H104" i="5375" s="1"/>
  <c r="G127" i="5375"/>
  <c r="G133" i="5375" s="1"/>
  <c r="G103" i="5375"/>
  <c r="G105" i="5375"/>
  <c r="H105" i="5375" s="1"/>
  <c r="G117" i="5375" l="1"/>
  <c r="H127" i="5375"/>
  <c r="H133" i="5375" s="1"/>
  <c r="H103" i="5375"/>
  <c r="H117" i="5375" s="1"/>
  <c r="F51" i="5377" l="1"/>
  <c r="C51" i="5377"/>
  <c r="F48" i="5377"/>
  <c r="C48" i="5377"/>
  <c r="F86" i="5377"/>
  <c r="F85" i="5377"/>
  <c r="F80" i="5377"/>
  <c r="F75" i="5377"/>
  <c r="F74" i="5377"/>
  <c r="F72" i="5377"/>
  <c r="F42" i="5377"/>
  <c r="F65" i="5377"/>
  <c r="F64" i="5377"/>
  <c r="F35" i="5377"/>
  <c r="F34" i="5377"/>
  <c r="F33" i="5377"/>
  <c r="F32" i="5377"/>
  <c r="F31" i="5377"/>
  <c r="F21" i="5377"/>
  <c r="F22" i="5377"/>
  <c r="F23" i="5377"/>
  <c r="F24" i="5377"/>
  <c r="C42" i="5377"/>
  <c r="C32" i="5377"/>
  <c r="C33" i="5377"/>
  <c r="C34" i="5377"/>
  <c r="C31" i="5377"/>
  <c r="F5" i="5377"/>
  <c r="C5" i="5377"/>
  <c r="C4" i="5377"/>
  <c r="F4" i="5377"/>
  <c r="C86" i="5377"/>
  <c r="G13" i="5375" l="1"/>
  <c r="H13" i="5375" s="1"/>
  <c r="G42" i="5375"/>
  <c r="H42" i="5375" s="1"/>
  <c r="G95" i="5375"/>
  <c r="H95" i="5375" s="1"/>
  <c r="G57" i="5375"/>
  <c r="H57" i="5375" s="1"/>
  <c r="G60" i="5375"/>
  <c r="H60" i="5375" s="1"/>
  <c r="G43" i="5375"/>
  <c r="H43" i="5375" s="1"/>
  <c r="G41" i="5375"/>
  <c r="H41" i="5375" s="1"/>
  <c r="G40" i="5375"/>
  <c r="H40" i="5375" s="1"/>
  <c r="G14" i="5375"/>
  <c r="H14" i="5375" s="1"/>
  <c r="C65" i="5377"/>
  <c r="C35" i="5377"/>
  <c r="C24" i="5377"/>
  <c r="C22" i="5377"/>
  <c r="C19" i="5377"/>
  <c r="F19" i="5377"/>
  <c r="C20" i="5377"/>
  <c r="F20" i="5377"/>
  <c r="C21" i="5377"/>
  <c r="C18" i="5377"/>
  <c r="F18" i="5377"/>
  <c r="C64" i="5377"/>
  <c r="C85" i="5377"/>
  <c r="C80" i="5377"/>
  <c r="C75" i="5377"/>
  <c r="C74" i="5377"/>
  <c r="C72" i="5377"/>
  <c r="H61" i="5375" l="1"/>
  <c r="G61" i="5375"/>
  <c r="H15" i="5375"/>
  <c r="G15" i="5375"/>
  <c r="G29" i="5375"/>
  <c r="H29" i="5375" s="1"/>
  <c r="G33" i="5375"/>
  <c r="H33" i="5375" s="1"/>
  <c r="G74" i="5375"/>
  <c r="H74" i="5375" s="1"/>
  <c r="G32" i="5375"/>
  <c r="H32" i="5375" s="1"/>
  <c r="G44" i="5375"/>
  <c r="H44" i="5375" s="1"/>
  <c r="G31" i="5375"/>
  <c r="H31" i="5375" s="1"/>
  <c r="G28" i="5375"/>
  <c r="H28" i="5375" s="1"/>
  <c r="G30" i="5375"/>
  <c r="H30" i="5375" s="1"/>
  <c r="G27" i="5375"/>
  <c r="G94" i="5375"/>
  <c r="H94" i="5375" s="1"/>
  <c r="H75" i="5375" l="1"/>
  <c r="G75" i="5375"/>
  <c r="H27" i="5375"/>
  <c r="H45" i="5375" s="1"/>
  <c r="G45" i="5375"/>
  <c r="G89" i="5375" l="1"/>
  <c r="H89" i="5375" l="1"/>
  <c r="G83" i="5375"/>
  <c r="H83" i="5375" s="1"/>
  <c r="G84" i="5375" l="1"/>
  <c r="H84" i="5375" s="1"/>
  <c r="G81" i="5375" l="1"/>
  <c r="G100" i="5375" s="1"/>
  <c r="G242" i="5375" l="1"/>
  <c r="H81" i="5375"/>
  <c r="H100" i="5375" s="1"/>
  <c r="H243" i="5375" l="1"/>
</calcChain>
</file>

<file path=xl/sharedStrings.xml><?xml version="1.0" encoding="utf-8"?>
<sst xmlns="http://schemas.openxmlformats.org/spreadsheetml/2006/main" count="1473" uniqueCount="910">
  <si>
    <t>CÓDIGO</t>
  </si>
  <si>
    <t>DISCRIMINAÇÃO DOS SERVIÇOS</t>
  </si>
  <si>
    <t>QUANT</t>
  </si>
  <si>
    <t>P. UNITÁRIO</t>
  </si>
  <si>
    <t>( R$ )</t>
  </si>
  <si>
    <t>UNID</t>
  </si>
  <si>
    <t>PLANILHA ORÇAMENTÁRIA</t>
  </si>
  <si>
    <t>SUB-TOTAL</t>
  </si>
  <si>
    <t>ITEM</t>
  </si>
  <si>
    <t>DESCRIÇÃO</t>
  </si>
  <si>
    <t>CÁLCULO</t>
  </si>
  <si>
    <t>QUANTIDADE</t>
  </si>
  <si>
    <t>UN.</t>
  </si>
  <si>
    <t>CODIGO</t>
  </si>
  <si>
    <t>01.02</t>
  </si>
  <si>
    <t>02.01</t>
  </si>
  <si>
    <t>02.02</t>
  </si>
  <si>
    <t>02.03</t>
  </si>
  <si>
    <t>03.01</t>
  </si>
  <si>
    <t>02.08.020</t>
  </si>
  <si>
    <t>03.02.040</t>
  </si>
  <si>
    <t>04.01</t>
  </si>
  <si>
    <t>04.02</t>
  </si>
  <si>
    <t>05.04</t>
  </si>
  <si>
    <t>06.01</t>
  </si>
  <si>
    <t>06.02.020</t>
  </si>
  <si>
    <t>07.01</t>
  </si>
  <si>
    <t>07.02</t>
  </si>
  <si>
    <t>08.01</t>
  </si>
  <si>
    <t>09.01</t>
  </si>
  <si>
    <t>09.01.020</t>
  </si>
  <si>
    <t>09.01.030</t>
  </si>
  <si>
    <t>09.02</t>
  </si>
  <si>
    <t>10.01</t>
  </si>
  <si>
    <t>10.01.040</t>
  </si>
  <si>
    <t>10.02</t>
  </si>
  <si>
    <t>11.01</t>
  </si>
  <si>
    <t>11.01.130</t>
  </si>
  <si>
    <t>11.02</t>
  </si>
  <si>
    <t>12.01</t>
  </si>
  <si>
    <t>12.04</t>
  </si>
  <si>
    <t>12.05</t>
  </si>
  <si>
    <t>12.06</t>
  </si>
  <si>
    <t>12.07</t>
  </si>
  <si>
    <t>13.01</t>
  </si>
  <si>
    <t>13.02</t>
  </si>
  <si>
    <t>13.05</t>
  </si>
  <si>
    <t>14.01</t>
  </si>
  <si>
    <t>14.02</t>
  </si>
  <si>
    <t>14.04.210</t>
  </si>
  <si>
    <t>15.01</t>
  </si>
  <si>
    <t>15.03</t>
  </si>
  <si>
    <t>15.03.030</t>
  </si>
  <si>
    <t>15.05</t>
  </si>
  <si>
    <t>16.02</t>
  </si>
  <si>
    <t>16.03</t>
  </si>
  <si>
    <t>17.02.220</t>
  </si>
  <si>
    <t>17.10.020</t>
  </si>
  <si>
    <t>17.10.200</t>
  </si>
  <si>
    <t>24.02.040</t>
  </si>
  <si>
    <t>24.02.060</t>
  </si>
  <si>
    <t>26.02.060</t>
  </si>
  <si>
    <t>30.08.060</t>
  </si>
  <si>
    <t>32.16.030</t>
  </si>
  <si>
    <t>33.02.080</t>
  </si>
  <si>
    <t>33.10.030</t>
  </si>
  <si>
    <t>38.01.060</t>
  </si>
  <si>
    <t>38.19.020</t>
  </si>
  <si>
    <t>40.01.090</t>
  </si>
  <si>
    <t>40.04.450</t>
  </si>
  <si>
    <t>40.04.470</t>
  </si>
  <si>
    <t>44.01.050</t>
  </si>
  <si>
    <t>44.03.050</t>
  </si>
  <si>
    <t>44.03.130</t>
  </si>
  <si>
    <t>44.20.280</t>
  </si>
  <si>
    <t>46.01.020</t>
  </si>
  <si>
    <t>46.01.050</t>
  </si>
  <si>
    <t>49.01.040</t>
  </si>
  <si>
    <t>55.01.020</t>
  </si>
  <si>
    <t>SERVIÇOS PRELIMINARES</t>
  </si>
  <si>
    <t>DEMOLIÇÕES E RETIRADAS</t>
  </si>
  <si>
    <t xml:space="preserve">TOTAL </t>
  </si>
  <si>
    <t>PINTURA</t>
  </si>
  <si>
    <t>01.01</t>
  </si>
  <si>
    <t>02.00</t>
  </si>
  <si>
    <t>01.00</t>
  </si>
  <si>
    <t>03.00</t>
  </si>
  <si>
    <t>04.00</t>
  </si>
  <si>
    <t>05.00</t>
  </si>
  <si>
    <t>05.01</t>
  </si>
  <si>
    <t>05.02</t>
  </si>
  <si>
    <t>05.03</t>
  </si>
  <si>
    <t>06.00</t>
  </si>
  <si>
    <t>SERVIÇOS COMPLEMENTARES</t>
  </si>
  <si>
    <t xml:space="preserve">Departamento de Engenharia, </t>
  </si>
  <si>
    <t>Obras e Serviços da Prefeitura Municipal de Itaí</t>
  </si>
  <si>
    <t>Item</t>
  </si>
  <si>
    <t xml:space="preserve"> (R$)</t>
  </si>
  <si>
    <t>TOTAL</t>
  </si>
  <si>
    <t>_______________________________</t>
  </si>
  <si>
    <t>Placa de sinalização em PVC para ambientes</t>
  </si>
  <si>
    <t>97.02.210</t>
  </si>
  <si>
    <t>Limpeza complementar com hidrojateamento</t>
  </si>
  <si>
    <t>55.01.030</t>
  </si>
  <si>
    <t>Limpeza final da obra</t>
  </si>
  <si>
    <t>Extintor manual de pó químico seco ABC - capacidade de 4 kg</t>
  </si>
  <si>
    <t>50.10.110</t>
  </si>
  <si>
    <t>Extintor manual de água pressurizada - capacidade de 10 litros</t>
  </si>
  <si>
    <t>50.10.100</t>
  </si>
  <si>
    <t>Grelha pré-moldada em concreto, com furos redondos, 79,5 x 24,5 x 8 cm</t>
  </si>
  <si>
    <t>49.06.190</t>
  </si>
  <si>
    <t>49.03.020</t>
  </si>
  <si>
    <t>Caixa sifonada de PVC rígido de 150 x 185 x 75 mm, com grelha</t>
  </si>
  <si>
    <t>Caixa sifonada de PVC rígido de 150 x 150 x 50 mm, com grelha</t>
  </si>
  <si>
    <t>49.01.030</t>
  </si>
  <si>
    <t>Caixa sifonada de PVC rígido de 100 x 100 x 50 mm, com grelha</t>
  </si>
  <si>
    <t>49.01.016</t>
  </si>
  <si>
    <t>48.02.400</t>
  </si>
  <si>
    <t>Válvula de mictório padrão, vazão automática, DN= 3/4´</t>
  </si>
  <si>
    <t>47.04.100</t>
  </si>
  <si>
    <t>Válvula de descarga com registro próprio, DN= 1 1/2´</t>
  </si>
  <si>
    <t>47.04.040</t>
  </si>
  <si>
    <t>Registro de gaveta em latão fundido cromado com canopla, DN= 1 1/2´ - linha especial</t>
  </si>
  <si>
    <t>47.02.050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</si>
  <si>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</si>
  <si>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</si>
  <si>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</si>
  <si>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</si>
  <si>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</si>
  <si>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</si>
  <si>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Registro de gaveta em latão fundido sem acabamento, DN= 2 1/2´</t>
  </si>
  <si>
    <t>47.01.070</t>
  </si>
  <si>
    <t>Registro de gaveta em latão fundido sem acabamento, DN= 1 1/2´</t>
  </si>
  <si>
    <t>47.01.050</t>
  </si>
  <si>
    <t>Registro de gaveta em latão fundido sem acabamento, DN= 1´</t>
  </si>
  <si>
    <t>47.01.030</t>
  </si>
  <si>
    <t>Registro de gaveta em latão fundido sem acabamento, DN= 1/2´</t>
  </si>
  <si>
    <t>47.01.010</t>
  </si>
  <si>
    <t>Tubo de cobre classe A, DN= 22mm (3/4´), inclusive conexões</t>
  </si>
  <si>
    <t>46.10.020</t>
  </si>
  <si>
    <t>Tubo de PVC rígido PxB com virola e anel de borracha, linha esgoto série reforçada ´R´. DN= 150 mm, inclusive conexões</t>
  </si>
  <si>
    <t>46.03.060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</si>
  <si>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</si>
  <si>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</si>
  <si>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</si>
  <si>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</si>
  <si>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</si>
  <si>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</si>
  <si>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</si>
  <si>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</si>
  <si>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Tubo de PVC rígido soldável marrom, DN= 75 mm, (2 1/2´), inclusive conexões</t>
  </si>
  <si>
    <t>46.01.070</t>
  </si>
  <si>
    <t>Tubo de PVC rígido soldável marrom, DN= 50 mm, (1 1/2´), inclusive conexões</t>
  </si>
  <si>
    <t>Tubo de PVC rígido soldável marrom, DN= 32 mm, (1´), inclusive conexões</t>
  </si>
  <si>
    <t>46.01.030</t>
  </si>
  <si>
    <t>Tubo de PVC rígido soldável marrom, DN= 25 mm, (3/4´), inclusive conexões</t>
  </si>
  <si>
    <t>Tubo de PVC rígido soldável marrom, DN= 20 mm, (1/2´), inclusive conexões</t>
  </si>
  <si>
    <t>46.01.010</t>
  </si>
  <si>
    <t>Entrada completa de gás GLP com 2 cilindros de 45 kg</t>
  </si>
  <si>
    <t>45.02.040</t>
  </si>
  <si>
    <t>Tampa de plástico para bacia sanitária</t>
  </si>
  <si>
    <t>Torneira de mesa para pia com bica móvel e arejador em latão fundido cromado</t>
  </si>
  <si>
    <t>44.03.590</t>
  </si>
  <si>
    <t>Torneira de mesa para lavatório compacta, acionamento hidromecânico, em latão cromado, DN= 1/2´</t>
  </si>
  <si>
    <t>44.03.480</t>
  </si>
  <si>
    <t>Dispenser toalheiro em ABS, para folhas</t>
  </si>
  <si>
    <t>44.03.180</t>
  </si>
  <si>
    <t>Saboneteira tipo dispenser, para refil de 800 ml</t>
  </si>
  <si>
    <t>Dispenser papel higiênico em ABS para rolão 300 / 600 m, com visor</t>
  </si>
  <si>
    <t>Cuba de louça de embutir redonda</t>
  </si>
  <si>
    <t>44.01.850</t>
  </si>
  <si>
    <t>Mictório de louça sifonado auto aspirante</t>
  </si>
  <si>
    <t>44.01.200</t>
  </si>
  <si>
    <t>Bacia sifonada de louça sem tampa - 6 litros</t>
  </si>
  <si>
    <t>41.31.040</t>
  </si>
  <si>
    <t>40.11.010</t>
  </si>
  <si>
    <t>Contator de potência 12 A - 1na+1nf</t>
  </si>
  <si>
    <t>40.10.016</t>
  </si>
  <si>
    <t>Caixa em PVC de 4´ x 2´</t>
  </si>
  <si>
    <t>40.07.010</t>
  </si>
  <si>
    <t>Interruptor com 2 teclas simples e placa</t>
  </si>
  <si>
    <t>40.05.040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</si>
  <si>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</si>
  <si>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</si>
  <si>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</si>
  <si>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</si>
  <si>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</si>
  <si>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Tomada 2P+T de 20 A - 250 V, completa</t>
  </si>
  <si>
    <t>40.04.460</t>
  </si>
  <si>
    <t>Tomada 2P+T de 10 A - 250 V, completa</t>
  </si>
  <si>
    <t>Caixa de passagem em chapa, com tampa parafusada, 100 x 100 x 80 mm</t>
  </si>
  <si>
    <t>40.02.020</t>
  </si>
  <si>
    <t>Caixa de ferro estampada octogonal de 3´ x 3´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</si>
  <si>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</si>
  <si>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</si>
  <si>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</si>
  <si>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</si>
  <si>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de 10 mm², isolamento 0,6/1 kV - isolação em PVC 70°C</t>
  </si>
  <si>
    <t>39.03.182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</si>
  <si>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</si>
  <si>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</si>
  <si>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</si>
  <si>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</si>
  <si>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</si>
  <si>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</si>
  <si>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Eletroduto de PVC corrugado flexível leve, diâmetro externo de 25 mm</t>
  </si>
  <si>
    <t>38.19.030</t>
  </si>
  <si>
    <t>Eletroduto de PVC corrugado flexível leve, diâmetro externo de 20 mm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</si>
  <si>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</si>
  <si>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</si>
  <si>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</si>
  <si>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</si>
  <si>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</si>
  <si>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</si>
  <si>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</si>
  <si>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</si>
  <si>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</si>
  <si>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</si>
  <si>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</si>
  <si>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Eletroduto de PVC rígido roscável de 3/4´ - com acessórios</t>
  </si>
  <si>
    <t>38.01.040</t>
  </si>
  <si>
    <t>Dispositivo diferencial residual de 80 A x 30 mA - 4 polos</t>
  </si>
  <si>
    <t>37.17.100</t>
  </si>
  <si>
    <t>Disjuntor termomagnético, tripolar 220/380 V, corrente de 60 A até 100 A</t>
  </si>
  <si>
    <t>37.13.660</t>
  </si>
  <si>
    <t>Disjuntor termomagnético, unipolar 127/220 V, corrente de 10 A até 30 A</t>
  </si>
  <si>
    <t>37.13.600</t>
  </si>
  <si>
    <t>Quadro de distribuição universal de embutir, para disjuntores 56 DIN / 40 Bolt-on - 225 A - sem componentes</t>
  </si>
  <si>
    <t>37.03.240</t>
  </si>
  <si>
    <t>Banco contínuo em concreto vazado</t>
  </si>
  <si>
    <t>35.04.020</t>
  </si>
  <si>
    <t>Tinta acrílica antimofo em massa, inclusive preparo</t>
  </si>
  <si>
    <t>Massa corrida à base de resina acrílica</t>
  </si>
  <si>
    <t>Preparo de base para superfície metálica com fundo antioxidante</t>
  </si>
  <si>
    <t>33.01.350</t>
  </si>
  <si>
    <t>Tela em polietileno, malha hexagonal de 1/2´, para armadura de argamassa</t>
  </si>
  <si>
    <t>32.20.050</t>
  </si>
  <si>
    <t>Impermeabilização em membrana de asfalto modificado com elastômeros, na cor preta</t>
  </si>
  <si>
    <t>Proteção anticorrosiva, a base de resina epóxi com alcatrão, para ramais sob a terra, com DN até 1´</t>
  </si>
  <si>
    <t>32.10.050</t>
  </si>
  <si>
    <t>Junta plástica de 3/4´ x 1/8´</t>
  </si>
  <si>
    <t>32.07.040</t>
  </si>
  <si>
    <t>Placa de identificação em alumínio para WC, com desenho universal de acessibilidade</t>
  </si>
  <si>
    <t>30.06.080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</si>
  <si>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</si>
  <si>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</si>
  <si>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</si>
  <si>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</si>
  <si>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30.04.040</t>
  </si>
  <si>
    <t>30.04.020</t>
  </si>
  <si>
    <t>Barra de apoio reta, para pessoas com mobilidade reduzida, em tubo de aço inoxidável de 1 1/2´ x 800 mm</t>
  </si>
  <si>
    <t>30.01.030</t>
  </si>
  <si>
    <t>Fechadura de centro com cilindro para porta em vidro temperado</t>
  </si>
  <si>
    <t>28.20.600</t>
  </si>
  <si>
    <t>Contra fechadura de centro para porta em vidro temperado</t>
  </si>
  <si>
    <t>28.20.590</t>
  </si>
  <si>
    <t>26.04.010</t>
  </si>
  <si>
    <t>Vidro temperado incolor de 10 mm</t>
  </si>
  <si>
    <t>Porta veneziana de abrir em alumínio, sob medida</t>
  </si>
  <si>
    <t>25.02.110</t>
  </si>
  <si>
    <t>25.01.380</t>
  </si>
  <si>
    <t>Corrimão duplo em tubo de aço inoxidável escovado, com diâmetro de 1 1/2´ e montantes com diâmetro de 2´</t>
  </si>
  <si>
    <t>24.08.020</t>
  </si>
  <si>
    <t>Porta de enrolar automatizada, em chapa de aço galvanizada microperfurada, com pintura eletrostática, com controle remoto</t>
  </si>
  <si>
    <t>24.03.930</t>
  </si>
  <si>
    <t>Porta em ferro de correr, para receber vidro, sob medida</t>
  </si>
  <si>
    <t>24.02.410</t>
  </si>
  <si>
    <t>Porta/portão de abrir em chapa, sob medida</t>
  </si>
  <si>
    <t>Porta/portão tipo gradil sob medida</t>
  </si>
  <si>
    <t>Forro em placa de gesso liso fixo</t>
  </si>
  <si>
    <t>22.02.010</t>
  </si>
  <si>
    <t>21.03.151</t>
  </si>
  <si>
    <t>18.08.090</t>
  </si>
  <si>
    <t>Resina epóxi para degrau de granilite</t>
  </si>
  <si>
    <t>17.40.190</t>
  </si>
  <si>
    <t>Resina epóxi para piso de granilite</t>
  </si>
  <si>
    <t>17.40.160</t>
  </si>
  <si>
    <t>Faixa antiderrapante definitiva para degraus, soleiras, patamares ou pisos</t>
  </si>
  <si>
    <t>17.40.110</t>
  </si>
  <si>
    <t>Rodapé qualquer em granilite moldado no local até 10 cm</t>
  </si>
  <si>
    <t>Degrau em granilite moldado no local</t>
  </si>
  <si>
    <t>17.10.120</t>
  </si>
  <si>
    <t>Piso em granilite moldado no local</t>
  </si>
  <si>
    <t>17.05.100</t>
  </si>
  <si>
    <t>17.05.070</t>
  </si>
  <si>
    <t>Reboco</t>
  </si>
  <si>
    <t>Emboço comum</t>
  </si>
  <si>
    <t>17.02.120</t>
  </si>
  <si>
    <t>Chapisco com bianco</t>
  </si>
  <si>
    <t>17.02.040</t>
  </si>
  <si>
    <t>16.12.060</t>
  </si>
  <si>
    <t>Fornecimento e montagem de estrutura em aço ASTM-A36, sem pintura</t>
  </si>
  <si>
    <t>Divisória em placas de granito com espessura de 3 cm</t>
  </si>
  <si>
    <t>14.30.010</t>
  </si>
  <si>
    <t>Vergas, contravergas e pilaretes de concreto armado</t>
  </si>
  <si>
    <t>14.20.010</t>
  </si>
  <si>
    <t>Alvenaria de bloco cerâmico estrutural, uso revestido, de 19 cm</t>
  </si>
  <si>
    <t>14.05.060</t>
  </si>
  <si>
    <t>14.05</t>
  </si>
  <si>
    <t>Alvenaria de bloco cerâmico de vedação, uso revestido, de 14 cm</t>
  </si>
  <si>
    <t>14.04</t>
  </si>
  <si>
    <t>14.03</t>
  </si>
  <si>
    <t>Alvenaria de embasamento em tijolo maciço comum</t>
  </si>
  <si>
    <t>14.01.020</t>
  </si>
  <si>
    <t>12.09</t>
  </si>
  <si>
    <t>Broca em concreto armado diâmetro de 20 cm - completa</t>
  </si>
  <si>
    <t>Corte de junta de dilatação, com serra de disco diamantado para pisos</t>
  </si>
  <si>
    <t>11.20.050</t>
  </si>
  <si>
    <t>Lançamento, espalhamento e adensamento de concreto ou massa em lastro e/ou enchimento</t>
  </si>
  <si>
    <t>11.16.020</t>
  </si>
  <si>
    <t>11.05</t>
  </si>
  <si>
    <t>11.04</t>
  </si>
  <si>
    <t>11.03</t>
  </si>
  <si>
    <t>Armadura em tela soldada de aço</t>
  </si>
  <si>
    <t>10.02.020</t>
  </si>
  <si>
    <t>10.01.060</t>
  </si>
  <si>
    <t>09.04</t>
  </si>
  <si>
    <t>Forma em madeira comum para estrutura</t>
  </si>
  <si>
    <t>Forma em madeira comum para fundação</t>
  </si>
  <si>
    <t>08.03</t>
  </si>
  <si>
    <t>08.02</t>
  </si>
  <si>
    <t>07.12</t>
  </si>
  <si>
    <t>07.11</t>
  </si>
  <si>
    <t>07.10</t>
  </si>
  <si>
    <t>07.06</t>
  </si>
  <si>
    <t>07.05</t>
  </si>
  <si>
    <t>Escavação e carga mecanizada para exploração de solo em jazida</t>
  </si>
  <si>
    <t>07.01.010</t>
  </si>
  <si>
    <t>06.14</t>
  </si>
  <si>
    <t>Aterro manual apiloado de área interna com maço de 30 kg</t>
  </si>
  <si>
    <t>06.12.020</t>
  </si>
  <si>
    <t>06.12</t>
  </si>
  <si>
    <t>Reaterro manual para simples regularização sem compactação</t>
  </si>
  <si>
    <t>06.11.020</t>
  </si>
  <si>
    <t>06.11</t>
  </si>
  <si>
    <t>06.02</t>
  </si>
  <si>
    <t>Transporte de solo de 1ª e 2ª categoria por caminhão até o 2° km</t>
  </si>
  <si>
    <t>05.10.020</t>
  </si>
  <si>
    <t>05.10</t>
  </si>
  <si>
    <t>05.08</t>
  </si>
  <si>
    <t>05.07</t>
  </si>
  <si>
    <t>Retirada de soleira ou peitoril em geral</t>
  </si>
  <si>
    <t>04.40.020</t>
  </si>
  <si>
    <t>Retirada de aparelho de ar condicionado portátil</t>
  </si>
  <si>
    <t>04.35.050</t>
  </si>
  <si>
    <t>Remoção de reservatório em fibrocimento até 1000 litros</t>
  </si>
  <si>
    <t>04.30.100</t>
  </si>
  <si>
    <t>Remoção de tubulação hidráulica em geral, incluindo conexões, caixas e ralos</t>
  </si>
  <si>
    <t>04.30.060</t>
  </si>
  <si>
    <t>Remoção de quadro de distribuição, chamada ou caixa de passagem</t>
  </si>
  <si>
    <t>04.21.160</t>
  </si>
  <si>
    <t>Remoção de lâmpada</t>
  </si>
  <si>
    <t>04.20.040</t>
  </si>
  <si>
    <t>Remoção de janela de ventilação, iluminação ou ventilação e iluminação padrão</t>
  </si>
  <si>
    <t>04.20.020</t>
  </si>
  <si>
    <t>Remoção de interruptores, tomadas, botão de campainha ou cigarra</t>
  </si>
  <si>
    <t>04.19.120</t>
  </si>
  <si>
    <t>Remoção de disjuntor de volume normal ou reduzido</t>
  </si>
  <si>
    <t>04.19.020</t>
  </si>
  <si>
    <t>Remoção de caixa de entrada de energia padrão medição indireta completa</t>
  </si>
  <si>
    <t>04.18.060</t>
  </si>
  <si>
    <t>Remoção de aparelho de iluminação ou projetor fixo em teto, piso ou parede</t>
  </si>
  <si>
    <t>04.17.020</t>
  </si>
  <si>
    <t>Retirada de bancada incluindo pertences</t>
  </si>
  <si>
    <t>04.11.030</t>
  </si>
  <si>
    <t>Retirada de aparelho sanitário incluindo acessórios</t>
  </si>
  <si>
    <t>04.11.020</t>
  </si>
  <si>
    <t>Retirada de guarda-corpo ou gradil em geral</t>
  </si>
  <si>
    <t>04.09.100</t>
  </si>
  <si>
    <t>Retirada de batente, corrimão ou peças lineares metálicas, chumbados</t>
  </si>
  <si>
    <t>04.09.060</t>
  </si>
  <si>
    <t>Retirada de folha de esquadria metálica</t>
  </si>
  <si>
    <t>04.09.040</t>
  </si>
  <si>
    <t>Retirada de batente com guarnição e peças lineares em madeira, chumbados</t>
  </si>
  <si>
    <t>04.08.060</t>
  </si>
  <si>
    <t>Retirada de folha de esquadria em madeira</t>
  </si>
  <si>
    <t>04.08.020</t>
  </si>
  <si>
    <t>04.05</t>
  </si>
  <si>
    <t>04.04</t>
  </si>
  <si>
    <t>Retirada de telhamento perfil e material qualquer, exceto barro</t>
  </si>
  <si>
    <t>04.03.040</t>
  </si>
  <si>
    <t>04.03</t>
  </si>
  <si>
    <t>Retirada de estrutura metálica</t>
  </si>
  <si>
    <t>04.02.140</t>
  </si>
  <si>
    <t>Remoção de pintura em massa com lixamento</t>
  </si>
  <si>
    <t>03.10.140</t>
  </si>
  <si>
    <t>Remoção de pintura em superfícies de madeira e/ou metálicas com lixamento</t>
  </si>
  <si>
    <t>03.10.100</t>
  </si>
  <si>
    <t>03.05</t>
  </si>
  <si>
    <t>Demolição manual de revestimento cerâmico, incluindo a base</t>
  </si>
  <si>
    <t>03.04.020</t>
  </si>
  <si>
    <t>03.04</t>
  </si>
  <si>
    <t>Demolição manual de revestimento em massa de parede ou teto</t>
  </si>
  <si>
    <t>03.03.040</t>
  </si>
  <si>
    <t>03.03</t>
  </si>
  <si>
    <t>Demolição manual de alvenaria de elevação ou elemento vazado, incluindo revestimento</t>
  </si>
  <si>
    <t>Demolição manual de alvenaria de fundação/embasamento</t>
  </si>
  <si>
    <t>03.02.020</t>
  </si>
  <si>
    <t>03.02</t>
  </si>
  <si>
    <t>Demolição manual de concreto simples</t>
  </si>
  <si>
    <t>03.01.020</t>
  </si>
  <si>
    <t>02.10</t>
  </si>
  <si>
    <t>02.09</t>
  </si>
  <si>
    <t>Placa de identificação para obra</t>
  </si>
  <si>
    <t>02.08</t>
  </si>
  <si>
    <t>02.06</t>
  </si>
  <si>
    <t>Montagem e desmontagem de andaime torre metálica com altura até 10 m</t>
  </si>
  <si>
    <t>02.05.060</t>
  </si>
  <si>
    <t>02.05</t>
  </si>
  <si>
    <t>Tapume fixo para fechamento de áreas, com portão</t>
  </si>
  <si>
    <t>02.03.120</t>
  </si>
  <si>
    <t>CÁLCULO BDI</t>
  </si>
  <si>
    <t>ÍTEM</t>
  </si>
  <si>
    <t>COMPONENTE DO BDI</t>
  </si>
  <si>
    <t>VALOR</t>
  </si>
  <si>
    <t>Risco</t>
  </si>
  <si>
    <t>Administração Central</t>
  </si>
  <si>
    <t>Lucro</t>
  </si>
  <si>
    <t>Departamento de Engenharia, Obras e Serviços</t>
  </si>
  <si>
    <t>05.09</t>
  </si>
  <si>
    <t>Escavação manual em solo de 1ª e 2ª categoria em vala ou cava até 1,5 m</t>
  </si>
  <si>
    <t>Armadura em barra de aço CA-50 (A ou B) fyk = 500 MPa</t>
  </si>
  <si>
    <t>Armadura em barra de aço CA-60 (A ou B) fyk = 600 MPa</t>
  </si>
  <si>
    <t>Concreto usinado, fck = 25 MPa</t>
  </si>
  <si>
    <t>Telhamento em chapa de aço pré-pintada com epóxi e poliéster, perfil trapezoidal, com espessura de 0,50 mm e altura de 40 mm</t>
  </si>
  <si>
    <t>Piso com requadro em concreto simples com controle de fck= 20 MPa</t>
  </si>
  <si>
    <t>Piso com requadro em concreto simples com controle de fck= 25 MPa</t>
  </si>
  <si>
    <t>Revestimento em porcelanato esmaltado acetinado para área interna e ambiente com acesso ao exterior, grupo de absorção BIa, resistência química B, assentado com argamassa colante industrializada, rejuntado</t>
  </si>
  <si>
    <t>18.11.052</t>
  </si>
  <si>
    <t>Revestimento em placa cerâmica esmaltada, tipo monoporosa, retangular, assentado e rejuntado com argamassa industrializada</t>
  </si>
  <si>
    <t>19.01.062</t>
  </si>
  <si>
    <t>Peitoril e/ou soleira em granito, espessura de 2 cm e largura até 20 cm, acabamento polido</t>
  </si>
  <si>
    <t>Revestimento em placas de alumínio composto "ACM", espessura de 4 mm e acabamento em PVDF</t>
  </si>
  <si>
    <t>25.01.361</t>
  </si>
  <si>
    <t>Caixilho em alumínio maxim-ar com vidro - branco</t>
  </si>
  <si>
    <t>Caixilho em alumínio de correr com vidro - branco</t>
  </si>
  <si>
    <t>Espelho em vidro cristal liso, espessura de 4 mm</t>
  </si>
  <si>
    <t>30.03.042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</si>
  <si>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</si>
  <si>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colado</t>
  </si>
  <si>
    <t>Faixa em policarbonato para sinalização visual fotoluminescente, para degraus, comprimento de 20 cm</t>
  </si>
  <si>
    <t>Bacia sifonada de louça para pessoas com mobilidade reduzida - capacidade de 6 litros</t>
  </si>
  <si>
    <t>33.07.102</t>
  </si>
  <si>
    <t>Esmalte a base de água em estrutura metálica</t>
  </si>
  <si>
    <t>33.10.041</t>
  </si>
  <si>
    <t>Esmalte à base de água em massa, inclusive preparo</t>
  </si>
  <si>
    <t>33.11.050</t>
  </si>
  <si>
    <t>Esmalte à base água em superfície metálica, inclusive preparo</t>
  </si>
  <si>
    <t>37.24.042</t>
  </si>
  <si>
    <t>Dispositivo de proteção contra surto, 1 polo, suportabilidade &lt;= 4 kV, Un até 240V/415V, Iimp = 60 kA, curva de ensaio 10/350µs - classe 1</t>
  </si>
  <si>
    <t>Relé fotoelétrico 50/60 Hz, 110/220 V, 1200 VA, completo</t>
  </si>
  <si>
    <t>41.02.580</t>
  </si>
  <si>
    <t>Lâmpada LED 13,5W, com base E-27, 1400 até 1510lm</t>
  </si>
  <si>
    <t>41.13.102</t>
  </si>
  <si>
    <t>Luminária blindada tipo arandela de 45º e 90º, para lâmpada LED</t>
  </si>
  <si>
    <t>41.31.087</t>
  </si>
  <si>
    <t>Luminária LED redonda de sobrepor com difusor recuado translucido, 4000 K, fluxo luminoso de 1900 a 2000 lm, potência de 17 a 19 W</t>
  </si>
  <si>
    <t>44.02.062</t>
  </si>
  <si>
    <t>Tampo/bancada em granito, com frontão, espessura de 2 cm, acabamento polido</t>
  </si>
  <si>
    <t>Reservatório em polietileno com tampa de rosca - capacidade de 1.000 litros</t>
  </si>
  <si>
    <t>Caixa de gordura em alvenaria, 600 x 600 x 600 mm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</si>
  <si>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</si>
  <si>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</si>
  <si>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</si>
  <si>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</si>
  <si>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SERVIÇOS EM SOLO</t>
  </si>
  <si>
    <t>CP</t>
  </si>
  <si>
    <t>ISS</t>
  </si>
  <si>
    <t>CPRB</t>
  </si>
  <si>
    <t>SIGLAS</t>
  </si>
  <si>
    <t>AC</t>
  </si>
  <si>
    <t xml:space="preserve">Seguro e Garantia </t>
  </si>
  <si>
    <t>SG</t>
  </si>
  <si>
    <t>R</t>
  </si>
  <si>
    <t xml:space="preserve">Despesas Financeiras </t>
  </si>
  <si>
    <t>DF</t>
  </si>
  <si>
    <t>L</t>
  </si>
  <si>
    <t xml:space="preserve">Tributos </t>
  </si>
  <si>
    <t>Tributos (ISS)</t>
  </si>
  <si>
    <t>Tributos (contribuiçaõ Previdenciária)</t>
  </si>
  <si>
    <t>BDI (FÓRMULA ACÓRDÃO TCU)</t>
  </si>
  <si>
    <t>TOTAL C/ BDI 24,18%</t>
  </si>
  <si>
    <r>
      <t>OBRA:</t>
    </r>
    <r>
      <rPr>
        <sz val="11"/>
        <rFont val="Arial"/>
        <family val="2"/>
      </rPr>
      <t xml:space="preserve"> REFORMA DO TERMINAL RODOVIÁRIO MUNICIPAL</t>
    </r>
  </si>
  <si>
    <r>
      <t>OBRA:</t>
    </r>
    <r>
      <rPr>
        <i/>
        <sz val="12"/>
        <rFont val="Cambria"/>
        <family val="1"/>
      </rPr>
      <t xml:space="preserve"> </t>
    </r>
    <r>
      <rPr>
        <sz val="12"/>
        <rFont val="Cambria"/>
        <family val="1"/>
      </rPr>
      <t>REFORMA TERMINAL RODOVIÁRIO MUNICIPAL</t>
    </r>
  </si>
  <si>
    <t>Prefeito Municipal de Itaí</t>
  </si>
  <si>
    <t>06.03</t>
  </si>
  <si>
    <t>UN</t>
  </si>
  <si>
    <t>M2</t>
  </si>
  <si>
    <t>KM</t>
  </si>
  <si>
    <t>M</t>
  </si>
  <si>
    <t>M3</t>
  </si>
  <si>
    <t>CJ</t>
  </si>
  <si>
    <t>KG</t>
  </si>
  <si>
    <t>12.01.021</t>
  </si>
  <si>
    <t>ALVENARIA E ELEMENTO DIVISOR</t>
  </si>
  <si>
    <t>ESTRUTURA EM MADEIRA, FERRO, ALUMINIO E CONCRETO</t>
  </si>
  <si>
    <t>ACESSIBILIDADE</t>
  </si>
  <si>
    <t>Luminária LED retangular de sobrepor com difusor translúcido, 4000 K, fluxo luminoso de 3690 a 4800 lm, potência de 38 a 41 W</t>
  </si>
  <si>
    <t>CAIXA, RALO, GRELHA E ACESSORIO HIDRAULICO</t>
  </si>
  <si>
    <t>DETECCAO, COMBATE E PREVENCAO A INCÊNDIO</t>
  </si>
  <si>
    <t>06.04</t>
  </si>
  <si>
    <t>06.05</t>
  </si>
  <si>
    <t>02.04</t>
  </si>
  <si>
    <t>02.07</t>
  </si>
  <si>
    <t>02.11</t>
  </si>
  <si>
    <t>02.12</t>
  </si>
  <si>
    <t>02.13</t>
  </si>
  <si>
    <t>02.14</t>
  </si>
  <si>
    <t>02.15</t>
  </si>
  <si>
    <t>02.16</t>
  </si>
  <si>
    <t>02.17</t>
  </si>
  <si>
    <t>06.06</t>
  </si>
  <si>
    <t>06.07</t>
  </si>
  <si>
    <t>06.08</t>
  </si>
  <si>
    <t>06.09</t>
  </si>
  <si>
    <t>Daniela Marangoni</t>
  </si>
  <si>
    <t>José Ramiro Antunes do Prado</t>
  </si>
  <si>
    <t>Engenheira Civil - CREA/SP 5070463440</t>
  </si>
  <si>
    <t>APARELHOS E ACESSÓRIOS</t>
  </si>
  <si>
    <t>SINAPI-99837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</si>
  <si>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</si>
  <si>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REVESTIMENTO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</si>
  <si>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</si>
  <si>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</si>
  <si>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</si>
  <si>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</si>
  <si>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</si>
  <si>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</si>
  <si>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</si>
  <si>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</si>
  <si>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</si>
  <si>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02.27</t>
  </si>
  <si>
    <t>ESQUADRIA E ELEMENTOS</t>
  </si>
  <si>
    <t>05.05</t>
  </si>
  <si>
    <t>05.06</t>
  </si>
  <si>
    <t>06.10</t>
  </si>
  <si>
    <t>06.13</t>
  </si>
  <si>
    <t>06.15</t>
  </si>
  <si>
    <t>06.16</t>
  </si>
  <si>
    <t>06.17</t>
  </si>
  <si>
    <t>06.18</t>
  </si>
  <si>
    <t>06.19</t>
  </si>
  <si>
    <t>06.20</t>
  </si>
  <si>
    <t>07.00</t>
  </si>
  <si>
    <t>07.03</t>
  </si>
  <si>
    <t>07.04</t>
  </si>
  <si>
    <t>07.07</t>
  </si>
  <si>
    <t>07.08</t>
  </si>
  <si>
    <t>07.09</t>
  </si>
  <si>
    <t>08.00</t>
  </si>
  <si>
    <t>09.00</t>
  </si>
  <si>
    <t>09.03</t>
  </si>
  <si>
    <t>10.00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</si>
  <si>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</si>
  <si>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</si>
  <si>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</si>
  <si>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</si>
  <si>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</si>
  <si>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</si>
  <si>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</si>
  <si>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</si>
  <si>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</si>
  <si>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</si>
  <si>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11.00</t>
  </si>
  <si>
    <t>11.06</t>
  </si>
  <si>
    <t>11.07</t>
  </si>
  <si>
    <t>11.08</t>
  </si>
  <si>
    <t>11.09</t>
  </si>
  <si>
    <t>11.10</t>
  </si>
  <si>
    <t>12.00</t>
  </si>
  <si>
    <t>12.02</t>
  </si>
  <si>
    <t>12.03</t>
  </si>
  <si>
    <t>12.08</t>
  </si>
  <si>
    <t>SINAPI-97902</t>
  </si>
  <si>
    <t>Caixa enterrada hidráulica retangular em alvenaria com tijolos cerâmicos maciços, dimensões internas: 0,6x0,6x0,6 m para rede de esgoto. AF_12/2020</t>
  </si>
  <si>
    <t>13.00</t>
  </si>
  <si>
    <t>13.03</t>
  </si>
  <si>
    <t>13.04</t>
  </si>
  <si>
    <t>2 (ban masc acess.)</t>
  </si>
  <si>
    <t>12 (4 escada + 8 rampa) (6 de inicio + 6 de final)</t>
  </si>
  <si>
    <t>6 (1 placa de saída + 1 placa escada (subir) + 1 placa rampa (subir) + 3 placas de indicação de sentido)</t>
  </si>
  <si>
    <t>12.10</t>
  </si>
  <si>
    <t>36 ( 9 degraus, 2 de cada lado, pisada e espelho)</t>
  </si>
  <si>
    <t>14.00</t>
  </si>
  <si>
    <t>15.00</t>
  </si>
  <si>
    <t>15.02</t>
  </si>
  <si>
    <t>15.04</t>
  </si>
  <si>
    <t>Gradil armado com tubos metalon chapas 1,20 mm , travessas (superior e inferior) tubos 40 x 40 mm, pés de sustentação tubos 50 x 50 mm, revestimento com tubos 20 x 20 mm na vertical, fundo zarcão anticorrosivo, 21,50 x 1,55 m / Portão Pivotante, quadro armado com tubos metalon 40 x 40 mm chapas 1,20 mm, revestido com tubos metalon 20 x 20 mm chapas 1,20 mm, na vertical, fundo zarcão anticorrosivo, 1,20 x 3,00 m  / Portão deslizante, quadro armado com tubos metalon 40 x 40 mm chapas 1,20 mm, trilhos superiores para deslizar portão, chapas 1,50 mm, revestido com tubos metalon 20 x 20 mm chapas 1,20 mm, vertical, fundo zarcão anticorrosivo, 2,20 x 2,50 m</t>
  </si>
  <si>
    <t>2 (cálculo do hydros)</t>
  </si>
  <si>
    <t>1 (cálculo do hydros)</t>
  </si>
  <si>
    <t>3 (cálculo do hydros)</t>
  </si>
  <si>
    <t>8 (cálculo do hydros)</t>
  </si>
  <si>
    <t>8 (8 vs) (cálculo do hydros)</t>
  </si>
  <si>
    <t>4 (4 mic) (cálculo do hydros)</t>
  </si>
  <si>
    <t>6 (cálculo do hydros)</t>
  </si>
  <si>
    <t>07.13</t>
  </si>
  <si>
    <t>INSTALAÇÕES ELÉTRICAS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</si>
  <si>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</si>
  <si>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</si>
  <si>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</si>
  <si>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</si>
  <si>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</si>
  <si>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</si>
  <si>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</si>
  <si>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</si>
  <si>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</si>
  <si>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</si>
  <si>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</si>
  <si>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11.11</t>
  </si>
  <si>
    <t>11.12</t>
  </si>
  <si>
    <t>13.06</t>
  </si>
  <si>
    <t>13.07</t>
  </si>
  <si>
    <t>13.08</t>
  </si>
  <si>
    <t>13.09</t>
  </si>
  <si>
    <t>13.10</t>
  </si>
  <si>
    <t>16.00</t>
  </si>
  <si>
    <t>16.01</t>
  </si>
  <si>
    <t>16.04</t>
  </si>
  <si>
    <t>16.05</t>
  </si>
  <si>
    <t>46 luminárias</t>
  </si>
  <si>
    <t>5 luminárias</t>
  </si>
  <si>
    <t>12 lampadas</t>
  </si>
  <si>
    <t>12 luminárias</t>
  </si>
  <si>
    <t>16 (calculo lumine)</t>
  </si>
  <si>
    <t>7 (calculo lumine)</t>
  </si>
  <si>
    <t>1 (calculo lumine)</t>
  </si>
  <si>
    <t>4 (1 ban acess. Fem + 1 ban fem. + 1 ban. Acess. Masc + 1 cab. acess)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</si>
  <si>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</si>
  <si>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</si>
  <si>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</si>
  <si>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</si>
  <si>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</si>
  <si>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</si>
  <si>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</si>
  <si>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</si>
  <si>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</si>
  <si>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</si>
  <si>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4 (calculo lumine)</t>
  </si>
  <si>
    <t>7  = ( 4 ban. Fem. + 3 ban. Masc)</t>
  </si>
  <si>
    <t>6  = (3 ban fem + 3 ban masc)</t>
  </si>
  <si>
    <t>8 =  (4 ban fem + 4 ban masc)</t>
  </si>
  <si>
    <t>4 = (2 ban. Fem + 2 ban. Masc)</t>
  </si>
  <si>
    <t>2 = (1 ban. Fem +1 ban. Masc)</t>
  </si>
  <si>
    <t>6 = (6 lv)</t>
  </si>
  <si>
    <t>1 = (cozinha lanchonete)</t>
  </si>
  <si>
    <t>8 = (4 ban fem + 4 ban masc)</t>
  </si>
  <si>
    <t>5 (1 bilheteria + 1 lanchonete + 1 banheiros + 2 Plataformas)</t>
  </si>
  <si>
    <t>16.06</t>
  </si>
  <si>
    <t>10.34</t>
  </si>
  <si>
    <t>10.35</t>
  </si>
  <si>
    <t>71 (calculo lumine)</t>
  </si>
  <si>
    <t>10.36</t>
  </si>
  <si>
    <t>14.06</t>
  </si>
  <si>
    <t>08.04</t>
  </si>
  <si>
    <t>8 (4 escada + 4 rampa) (4 guichês, lanchonete, banheiros / 4 embarque, desembarque)</t>
  </si>
  <si>
    <t>5,18 m²</t>
  </si>
  <si>
    <t>12.11</t>
  </si>
  <si>
    <t>SINAPI-97599</t>
  </si>
  <si>
    <t>Luminária de emergência, com 30 lâmpadas LED de 2W, sem reator, fornecimento e instalação. AF_02/2020</t>
  </si>
  <si>
    <t>09.05</t>
  </si>
  <si>
    <t>06.21</t>
  </si>
  <si>
    <t>05.11</t>
  </si>
  <si>
    <r>
      <t>DATA BASE:</t>
    </r>
    <r>
      <rPr>
        <sz val="11"/>
        <rFont val="Arial"/>
        <family val="2"/>
      </rPr>
      <t xml:space="preserve"> SINAPI/SP 09-2021 - (NÃO DESONERADO)</t>
    </r>
  </si>
  <si>
    <t>Altura (m)</t>
  </si>
  <si>
    <t>Comprimento (m)</t>
  </si>
  <si>
    <t>Área de Vãos (m²)</t>
  </si>
  <si>
    <t>Área (m²)</t>
  </si>
  <si>
    <t>DEPÓSITO</t>
  </si>
  <si>
    <t>SALA COMERCIAL</t>
  </si>
  <si>
    <t>8 t</t>
  </si>
  <si>
    <t>12 t</t>
  </si>
  <si>
    <t>LANCHONETE</t>
  </si>
  <si>
    <t>14 t</t>
  </si>
  <si>
    <t>17 t</t>
  </si>
  <si>
    <t>DEPÓSITO LANCH.</t>
  </si>
  <si>
    <t>24 t</t>
  </si>
  <si>
    <t>25 t</t>
  </si>
  <si>
    <t>26 t</t>
  </si>
  <si>
    <t>GUICHÊ 1</t>
  </si>
  <si>
    <t>GUICHÊ 2</t>
  </si>
  <si>
    <t>BANH. FEM.</t>
  </si>
  <si>
    <t>BANH. MASC.</t>
  </si>
  <si>
    <t>AMBIENTE</t>
  </si>
  <si>
    <t>ÁREA</t>
  </si>
  <si>
    <t>ÁREA DE ESPERA</t>
  </si>
  <si>
    <t>PAREDES À DEMOLIR</t>
  </si>
  <si>
    <t>Espessura (m)</t>
  </si>
  <si>
    <t>Volume (m³)</t>
  </si>
  <si>
    <t>3 (1 para cada extintor)</t>
  </si>
  <si>
    <t>VALVULAS E APARELHOS DE MEDICAO E CONTROLE PARA LIQUIDOS</t>
  </si>
  <si>
    <t>TUBULACAO E CONDUTORES PARA LIQUIDOS E GASES</t>
  </si>
  <si>
    <t>07.14</t>
  </si>
  <si>
    <t>1,2m x 1,4m x 5 ( deposito, sala comercial, 2 lanchonete, dep lanch.) + 2m x1,2m (lanchonte)</t>
  </si>
  <si>
    <t xml:space="preserve"> 0,8m x 1,5m x 3 (guichê) + 2,75m x 0,6m (ban fem.) + 2,9m x 0,6m (ban. Masc.) </t>
  </si>
  <si>
    <t>2 portas</t>
  </si>
  <si>
    <t>06.22</t>
  </si>
  <si>
    <t>0,3075m² x 0,2m (vitrine) + 0,444m² x 0,2m (janela lanch) + 0,6m² x 0,2m (janelas guiche) + 0,115m² x 0,15 m (porta guiche) + 0,3m² x 0,15m (vidro fixo guiche)</t>
  </si>
  <si>
    <t>1,596 m² (janela lanch) + 2,16m² (janela guiche)</t>
  </si>
  <si>
    <t xml:space="preserve"> 0,48m² x 3 (mic) + 3,48m² + 3,42m² + 3,42m² + 3,42m² +3,42m² + 2,41m² + 3,23m² + 3,23m² + 3,23m² + 3,23m² + 1,55m² (banheiros)</t>
  </si>
  <si>
    <t>84,33m² x 0,08 m (corredor dos fundos)</t>
  </si>
  <si>
    <t>4,45 m² x 0,1 m (paredes à demolir sala comercial, lanch., guichês e banh.)</t>
  </si>
  <si>
    <t>8 terças x 24,30 m x 27,40 kg/6m</t>
  </si>
  <si>
    <t>(0,36m x 25,30m x 6 vigas x 2) (2 perfis U) + (0,1m x 0,5m x 41cantoneiras x 6vigas x 2) (2 cantoneitas L) + (0,185m x 18 terças x 2 X 24,30m) (terças)</t>
  </si>
  <si>
    <t>4 (1 porta ban. Masc + 1 porta ban. Fem. + 1 porta ban. Acess. + 1 porta ban. externo)</t>
  </si>
  <si>
    <t>4 x 5m (porta banh fem, banh masc, guiche, dep lanch) + 1 x 5,10 (porta banh acess.) + 6 x 4,8m (portas div banh.)</t>
  </si>
  <si>
    <t xml:space="preserve">11 (4 portas guiche + 1 porta deposito +1 porta lanch + 2 portas salas comer. + 3 portas rolos) </t>
  </si>
  <si>
    <t xml:space="preserve">2,35m (corrimão escada) + 2 x 0,8m (suporte papel banheiro) </t>
  </si>
  <si>
    <t>2,25m x 0,55m x 2 (bancada banheiro)</t>
  </si>
  <si>
    <t xml:space="preserve"> 6 lv + 6 vs + 3 mic</t>
  </si>
  <si>
    <t>10 interruptores + 37  tomadas</t>
  </si>
  <si>
    <t>43 lampadas</t>
  </si>
  <si>
    <t>0,4m x 0,6m</t>
  </si>
  <si>
    <t xml:space="preserve">3 reservatórios </t>
  </si>
  <si>
    <t xml:space="preserve"> 2 x 1,35m (peitoril guiche)</t>
  </si>
  <si>
    <t>97,31 (hydros)</t>
  </si>
  <si>
    <t>1 ban. Fem + 1 ban. Masc + 1 lanchonete + 3 salas comer. + 1 deposito</t>
  </si>
  <si>
    <t>(4,8m² x 1,5m + 2,47m² x 0,9m) (aterro rampa)</t>
  </si>
  <si>
    <t>12,83m² x 0,057m x 2 (canaleta)</t>
  </si>
  <si>
    <t>3m x 16 + 1,2m x 6 + 24,95m (piso corredor fundos)</t>
  </si>
  <si>
    <t>24 brocas x 3,00m (memorial estrutura)</t>
  </si>
  <si>
    <t>(10 terças x 24,30 m x 27,40 kg / 6) + (9,18kg banzo superior + 9,18 kg banzo superior + 12,15 kg banzo superior + 12,15 kg banzo superior + 26,08 kg cantoneira L + 19,59 kg cantoneira L)</t>
  </si>
  <si>
    <t xml:space="preserve"> 8 deg x 1,7m</t>
  </si>
  <si>
    <t>84,33m² x 0,08m (corredor fundos)</t>
  </si>
  <si>
    <t>7,30m² (deposito) + 29,94m² (sala comercial) + 42,29m² (lanchonete) + 7m² (dep lanchonete) + 13,58m² (guichê) + 8,36m² (guichê) + 268,01m² (área de espera e embarque)</t>
  </si>
  <si>
    <t>10,7m (deposito) + 25,17m (sala comercial) + 46,29m (lanchonete) + 10,00m (dep lanchonete) + 17,76m (guiche) + 13,44m (guiche) + 96,46m + 47,25m (área de espera e embarque)</t>
  </si>
  <si>
    <t>(13,60m (degrau) + 2m (porta sala comercial) + 3,9m (porta lanchonete) + 5 x 0,8 (portas) + 2x 0,9m (portas)</t>
  </si>
  <si>
    <t>2m (porta sala comercial) + 1,3m ( vitrine sala comercial) + 2m (janela lanch) + 3,9m (porta lanchonete) + 1,2m x 5 (janelas dep, sala comercial, lanchonete e dep lanch) + 5 x 0,8m (portas) + 2 x 0,9 m (portas) + 3 x 0,8m (janelas guche) + 1,3m (guiche) + 1,3m (guiche) +2,75m (janela banh fem) + 2,9 (janela ban masc) + 5,55m (escada)</t>
  </si>
  <si>
    <t>2 un x 5 m + 2 un x 3 m</t>
  </si>
  <si>
    <t>11m (área de espera) + 8m + 2,5m + 7,0m (área de embarque)</t>
  </si>
  <si>
    <t>49,89m =  (30,29 cálculo do hydros) + 19,60m pluvial</t>
  </si>
  <si>
    <t>12,91m (cálculo do hydros)</t>
  </si>
  <si>
    <t>15,57m = (16,17 hydros - 0,6 ban acess)</t>
  </si>
  <si>
    <t>8,91m (cálculo do hydros)</t>
  </si>
  <si>
    <t>24,01m (cálculo do hydros)</t>
  </si>
  <si>
    <t>14,8m (cálculo do hydros)</t>
  </si>
  <si>
    <t>20,43m (cálculo do hydros)</t>
  </si>
  <si>
    <t>29,16m (cálculo do hydros)</t>
  </si>
  <si>
    <t>11,5m (desenho auto cad)</t>
  </si>
  <si>
    <t>17,43m = (18,33 hydros - 0,9 ban acess)</t>
  </si>
  <si>
    <t>8,39m = (12,84 hydros - 4,45 ban acess)</t>
  </si>
  <si>
    <t>18,10m (calculo lumine)</t>
  </si>
  <si>
    <t>443,3m (calculo lumine)</t>
  </si>
  <si>
    <t>119,10m (calculo lumine)</t>
  </si>
  <si>
    <t>25,90m (calculo lumine)</t>
  </si>
  <si>
    <t>35,20m (calculo lumine)</t>
  </si>
  <si>
    <t>24,40m (calculo lumine)</t>
  </si>
  <si>
    <t>41,3m (calculo lumine)</t>
  </si>
  <si>
    <t>38,8m (calculo lumine)</t>
  </si>
  <si>
    <t>15,1m (calculo lumine)</t>
  </si>
  <si>
    <t>33,18m² (desenho auto cad)</t>
  </si>
  <si>
    <t>11,5m (desenho autocad)</t>
  </si>
  <si>
    <t>10,7m (deposito) + 25,17m (sala comer) + 46,29m (lanchonete) + 10m (dep lanchonete) + 17,76m (guichê) + 13,44m (guichê) + 96,47m + 47,25m (área de espera e embarque) + 426,65m (área de espera e embarque)</t>
  </si>
  <si>
    <t>11,20m + 8,15m (rampa)</t>
  </si>
  <si>
    <t>0,6m x 1,7m x 7 (portas div banheiro) + 0,9m x 1,70m (porta div ban acess)</t>
  </si>
  <si>
    <t>7,15m +8,40m + 10,2m + 11,45m (rampa) + 2,6m + 2,6m (escada)</t>
  </si>
  <si>
    <t>1,2m x 1,6m (portão corredor)</t>
  </si>
  <si>
    <t>4m x 2,65m (porta entrada)</t>
  </si>
  <si>
    <t>21,5m x 1,55m + 1,2m x 3m + 2,2m x 2,5m</t>
  </si>
  <si>
    <t>1,5m² (banh fem) + 1,6m² (ban masc)</t>
  </si>
  <si>
    <t xml:space="preserve">2m X 2,65m (porta sala comer) + 1,30m X 2m (vitrine) + 3,9m X 2,65m (lanchonete) </t>
  </si>
  <si>
    <t>0,6 m x 0,10 m x 4 (sala comercial) + 0,6m x 0,9m x 4 (lanchonete) + 0,6m x 1,5m x 12 + 0,6m x 3m x 8 (guiche) + (0,6m x 3 + 0,5m) x 1,65m (muro lateral)</t>
  </si>
  <si>
    <t>TINTA ESMALTE - LADO INTERNO</t>
  </si>
  <si>
    <t>TINTA ESMALTE - LADO EXTERNO</t>
  </si>
  <si>
    <t>TOTAL TINTA ESMALTE</t>
  </si>
  <si>
    <t>REMOÇÃO DE PINTURA EXISTENTE - LADO INTERNO</t>
  </si>
  <si>
    <t>REMOÇÃO DE PINTURA EXISTENTE - LADO EXTERNO</t>
  </si>
  <si>
    <t>TINTA ACRILICA ANTIMOFO</t>
  </si>
  <si>
    <t>TOTAL REMOÇÃO DE CERAMICA</t>
  </si>
  <si>
    <t>TOTAL REMOÇÃO PINTURA EXISTENTE</t>
  </si>
  <si>
    <t>PORCELANATO PAREDE - LADO INTERNO</t>
  </si>
  <si>
    <t>CERAMICA PAREDE - LADO INTERNO</t>
  </si>
  <si>
    <t>TOTAL REVESTIMENTO PORCELANATO PAREDE</t>
  </si>
  <si>
    <t>TOTAL CERAMICA MONOPOROSA</t>
  </si>
  <si>
    <t>MASSA ACRILICA - LADO INTERNO</t>
  </si>
  <si>
    <t>MASSA ACRILICA - LADO EXTERNO</t>
  </si>
  <si>
    <t>TOTAL MASSA ACRÍLICA</t>
  </si>
  <si>
    <t>390,77m² (desenho cad) + 98,49m² (parede banheiros e lanchonete (memorial de calculo revestimento))</t>
  </si>
  <si>
    <t>09.06</t>
  </si>
  <si>
    <t>(0,36m x 25,30m x 6 x 2) (2 perfis U) + (0,1m x 0,5m x 41 x 6 x 2) (2 cantoneitas L) + (0,185m x 18 x 2 X24,30m) (terças)</t>
  </si>
  <si>
    <t>(0,36m x 25,30m x 6 x 2) (2 perfis U) + (0,1m x 0,5m x 41 x 6 x 2) (2 cantoneitas L) + (0,185m x 18 x 2 X 24,30m) (terças)</t>
  </si>
  <si>
    <t>0,8m x 2,10m (porta guiche)</t>
  </si>
  <si>
    <t>6,07m² x 2 (parede nova guiche) + 2,76m² x 2 (janelas guche) + 0,31m² x 2 (vitrine) + 7,4m² x 2 (balcão lanchonete) + 2,04m² x 2 (janela lanchonete) + 88,87m² (muro e rampa) + 0,5m x 25,4m (canaleta)</t>
  </si>
  <si>
    <t>(0,3m x 3 + 0,10m) x 0,10 m (sala comercial) + (0,3m x 3 + 0,4m) x 0,9m  (lanchonete) + 0,3m x 1,5m x 12 + 0,3m x 3m x 8 (guiche) + (0,3m x 3 + 0,2m) x 1,65m (muro lateral) + 10,20m x 1,85m (muro plataforma) + 0,16m² (muro escada)</t>
  </si>
  <si>
    <t>ORÇAMENTO GRADIL</t>
  </si>
  <si>
    <t>ITEM A</t>
  </si>
  <si>
    <t>ITEM B</t>
  </si>
  <si>
    <t>ITEM C</t>
  </si>
  <si>
    <t>DANÚBIO</t>
  </si>
  <si>
    <t>EMAR</t>
  </si>
  <si>
    <t>FRETE</t>
  </si>
  <si>
    <t>MEDIANA</t>
  </si>
  <si>
    <t>64,60m (calculo lumine)</t>
  </si>
  <si>
    <t>847,90m (calculo lumine)</t>
  </si>
  <si>
    <t>1786,50m (calculo lumine)</t>
  </si>
  <si>
    <t>32 (calculo lumine)</t>
  </si>
  <si>
    <t>21 (calculo lumine)</t>
  </si>
  <si>
    <t>9,8m (calculo lumine)</t>
  </si>
  <si>
    <t>85,80m (calculo lumine)</t>
  </si>
  <si>
    <t>331,9m (calculo lumine)</t>
  </si>
  <si>
    <t>ÁREA (M²)</t>
  </si>
  <si>
    <t>VALOR P/ M²</t>
  </si>
  <si>
    <t>ABERTURA DE VALA</t>
  </si>
  <si>
    <t>ATERRO DE VALA</t>
  </si>
  <si>
    <t>Largura</t>
  </si>
  <si>
    <t>Comp.</t>
  </si>
  <si>
    <t>Altura</t>
  </si>
  <si>
    <t>Volume</t>
  </si>
  <si>
    <t>Diferença</t>
  </si>
  <si>
    <t>Esgoto</t>
  </si>
  <si>
    <t>Gás</t>
  </si>
  <si>
    <t>Vigas</t>
  </si>
  <si>
    <t>REF.</t>
  </si>
  <si>
    <t>COD.</t>
  </si>
  <si>
    <t>UNID.</t>
  </si>
  <si>
    <t>CALCULOS</t>
  </si>
  <si>
    <t xml:space="preserve">BROCA </t>
  </si>
  <si>
    <t>CDHU</t>
  </si>
  <si>
    <t xml:space="preserve">Qtd. </t>
  </si>
  <si>
    <t>Prof. (m)</t>
  </si>
  <si>
    <t>Comp(m)</t>
  </si>
  <si>
    <t>Incluso na composição do item  4 Ø de 10,00 mm</t>
  </si>
  <si>
    <t>Estrutura</t>
  </si>
  <si>
    <t>Diâmetro</t>
  </si>
  <si>
    <t>Repetição</t>
  </si>
  <si>
    <t>Comp. (m)</t>
  </si>
  <si>
    <t>Qtd. Barras</t>
  </si>
  <si>
    <t>Peso esp.(kg/m)</t>
  </si>
  <si>
    <t>Peso(kg)</t>
  </si>
  <si>
    <t>VIGAS BALDRAMES</t>
  </si>
  <si>
    <t>VB1</t>
  </si>
  <si>
    <r>
      <t xml:space="preserve">Ferros de </t>
    </r>
    <r>
      <rPr>
        <sz val="10"/>
        <color theme="1"/>
        <rFont val="Calibri"/>
        <family val="2"/>
      </rPr>
      <t>Ø</t>
    </r>
    <r>
      <rPr>
        <sz val="10"/>
        <color theme="1"/>
        <rFont val="Arial"/>
        <family val="2"/>
      </rPr>
      <t xml:space="preserve"> 10,00mm</t>
    </r>
  </si>
  <si>
    <t>VB2</t>
  </si>
  <si>
    <t>VB3</t>
  </si>
  <si>
    <t>VB4</t>
  </si>
  <si>
    <t>VB5</t>
  </si>
  <si>
    <t>VB6</t>
  </si>
  <si>
    <t>VB7</t>
  </si>
  <si>
    <t xml:space="preserve">PILARES </t>
  </si>
  <si>
    <t>P5,P6,P7,P8</t>
  </si>
  <si>
    <t>P9</t>
  </si>
  <si>
    <t>P10</t>
  </si>
  <si>
    <t>P12</t>
  </si>
  <si>
    <t>P13</t>
  </si>
  <si>
    <t>P14, P15, P16, P17</t>
  </si>
  <si>
    <t>P18, P19, P20, P21</t>
  </si>
  <si>
    <t>VIGA</t>
  </si>
  <si>
    <t>V1</t>
  </si>
  <si>
    <r>
      <t xml:space="preserve">Ferros de </t>
    </r>
    <r>
      <rPr>
        <sz val="10"/>
        <color theme="1"/>
        <rFont val="Calibri"/>
        <family val="2"/>
      </rPr>
      <t>Ø</t>
    </r>
    <r>
      <rPr>
        <sz val="10"/>
        <color theme="1"/>
        <rFont val="Arial"/>
        <family val="2"/>
      </rPr>
      <t xml:space="preserve"> 8,00mm</t>
    </r>
  </si>
  <si>
    <t>V2</t>
  </si>
  <si>
    <t>V3</t>
  </si>
  <si>
    <t>Armadura em barra de aço CA-60 (A ou B) fyk =
600 MPa</t>
  </si>
  <si>
    <t>Qtd de estribos</t>
  </si>
  <si>
    <r>
      <t xml:space="preserve">Ferros de </t>
    </r>
    <r>
      <rPr>
        <sz val="10"/>
        <color theme="1"/>
        <rFont val="Calibri"/>
        <family val="2"/>
      </rPr>
      <t>Ø</t>
    </r>
    <r>
      <rPr>
        <sz val="10"/>
        <color theme="1"/>
        <rFont val="Arial"/>
        <family val="2"/>
      </rPr>
      <t xml:space="preserve"> 5,00mm</t>
    </r>
  </si>
  <si>
    <t>M³</t>
  </si>
  <si>
    <t>Largura(m)</t>
  </si>
  <si>
    <t>Altura(m)</t>
  </si>
  <si>
    <t>Volume(m³)</t>
  </si>
  <si>
    <t>M²</t>
  </si>
  <si>
    <t>Lados</t>
  </si>
  <si>
    <t>Área(m²)</t>
  </si>
  <si>
    <t/>
  </si>
  <si>
    <t>612,26m² (desenho auto cad)</t>
  </si>
  <si>
    <t xml:space="preserve"> 27,09 m³  (obs. detalhado memorial de calculo demolição)(Paredes à demolir sala comercial, lanch., guichês e banh.) + 0,18m² x 1,7m (escada)</t>
  </si>
  <si>
    <t>417,85m² x 0,08m  (deposito, sala comercial, lanchonte, guichê, área de espera e embarque, banheiros) + (25,4m x 0,0213m² fundo canaleta)</t>
  </si>
  <si>
    <t>2,63m² x 1,5m (corte rampa) + 14,85m³ (memorial abertura de vala)</t>
  </si>
  <si>
    <t>38,53m³ (reaterro) + 13,37m³ (rampa) + 7,50m³ (memorial abertura de vala)</t>
  </si>
  <si>
    <t xml:space="preserve">20,04m² x 6 (vigas metálicas) + 5,41m² (reforço lanchonte) + 4,08m²  (reforço sala comercial) </t>
  </si>
  <si>
    <t>1m x 2,1m x 2 + 1,1m x 2,10m (grade porta banheiro) + 1,5m x 1,3m (guichê) + 1m x 0,45m (janela ban acess) + 0,5m x 21,61m (gradil) + 9,48m x 0,75m (gradil canteiro) + 1,2m x1,4m x 3 (grade janela salas comercias) + 1,2 x 1,6 (portão corredor)</t>
  </si>
  <si>
    <t>136,20m ² (desenho cad, 3 m em cada direção)</t>
  </si>
  <si>
    <t>81 m²  (desenho cad 1,00 m pra cada lado da terça estragada +1,5 lateral)</t>
  </si>
  <si>
    <t xml:space="preserve">24,20m + 25,3m + 24,2m x 1,5m (fachada) + 15m x 1m + 15m x  0,08 (letreiro) </t>
  </si>
  <si>
    <t>0,8m x 2,10m x 5 (porta ban fem, porta guiche01, 2 porta lanchonete, porta deposito) + 0,9m x 2,10m x 2 (porta ban masc, porta ban acess)</t>
  </si>
  <si>
    <t>42m + 17,05m x 2,2m</t>
  </si>
  <si>
    <t>417,85m² (contrapiso p/ receber granilite) + 187,62 (laje e viga)</t>
  </si>
  <si>
    <t>417,85m² x 0,1m</t>
  </si>
  <si>
    <t>158,44m² (laje)(memorial de calculo revestimento)</t>
  </si>
  <si>
    <t>673,71 (memorial de calculo revestimento) + 158,44 m² (laje)</t>
  </si>
  <si>
    <t>1174,57m² (memorial de calculo revestimento)</t>
  </si>
  <si>
    <t>32 (desenho projeto de instalações de esgoto e águas pluviais)</t>
  </si>
  <si>
    <t>16,39m² (banh fem) + 21,43m² (banh masc) + 100,27m² (parede banheiros (memorial de calculo revestimento))</t>
  </si>
  <si>
    <t>103,69m² (memorial de calculo revestimento)</t>
  </si>
  <si>
    <t>1028,80m² (memorial de calculo pintura)</t>
  </si>
  <si>
    <t>21,5m x 1,55m (gradil) + 1,2m x 3m (portão piv) + 2,2m x 2,5m (portão correr)  + ( 424,64m² telha met.) + 1,20 x 1,6 (portão corredor)+(2,1 x 0,8 x 6x2 + 2,1 x 0,9 x 2x2) (portas metálicas)</t>
  </si>
  <si>
    <t>P11</t>
  </si>
  <si>
    <t>P1,P2,P3,P4,</t>
  </si>
  <si>
    <t>P1,P2,P3,P4</t>
  </si>
  <si>
    <t>26,37m² (memorial estrutural)</t>
  </si>
  <si>
    <t>238,04kg (memorial estrutural)</t>
  </si>
  <si>
    <t>168,36kg (memorial estrutural)</t>
  </si>
  <si>
    <t>4,78m³ (memorial estrutural)</t>
  </si>
  <si>
    <t xml:space="preserve"> 6,06m² (guiche) + 7,28m² (lanch) + 18,06m² (muro) + 7,73m² (rampa) + 31,65m x 0,15m (cobertura) + 17,48m x 0,7m (canteiro) + 2,105m² (portão muro lateral)</t>
  </si>
  <si>
    <t>15,84m² x 2 + 1,44m²(muro rampa) + 8,43m² x 2 + 1,69 m² (rampa) + 10,35m² x 2 + 2,29m² (rampa) +  2,80m² x 2 (muro lateral) + 0,46m² x 2 (porta guiche) + 0,32m² x 3 x 2 (janelas guiche) + 0,95m² x 2 + 0,64m² (parede nova guiche) + 0,53m² x 2 (janela lanchonete) + 2,37² x 2 + 1,58m² (balcão lanchonete) + 1,06m² x 2 + 0,71m² (sala comercial ) + 0,31m² x 2 (vitrine) + 12,83m² x 2 (canaleta)</t>
  </si>
  <si>
    <t>P14, P15, P17</t>
  </si>
  <si>
    <t>29,78m² (memorial estrutural)</t>
  </si>
  <si>
    <t>ITAÍ, 12 DE NOVEMBRO DE 2021</t>
  </si>
  <si>
    <t>0,9 m² + 4,2m x 0,1m (banh fem) + 0,96m² + 4,4m x 0,1m (banh masc) + 1,57m² (balcão lanchonete)</t>
  </si>
  <si>
    <t>Engª Daniela Marangoni</t>
  </si>
  <si>
    <t>CREA-SP  5070463440</t>
  </si>
  <si>
    <t>ORÇAMENTO*</t>
  </si>
  <si>
    <t>* OBS.: ITEM SEM BDI, ORIUNDO DE COTAÇÃO DE PREÇO.</t>
  </si>
  <si>
    <r>
      <t xml:space="preserve">LOCAL: </t>
    </r>
    <r>
      <rPr>
        <sz val="11"/>
        <rFont val="Arial"/>
        <family val="2"/>
      </rPr>
      <t>SALVADOR DE FREITAS, Nº 930, CENTRO, ITAÍ - SP</t>
    </r>
  </si>
  <si>
    <r>
      <t xml:space="preserve">LOCAL: </t>
    </r>
    <r>
      <rPr>
        <sz val="12"/>
        <rFont val="Cambria"/>
        <family val="1"/>
      </rPr>
      <t>SALVADOR DE FREITAS, Nº 930, CENTRO, ITAÍ – ESTADO DE SÃO PAULO.</t>
    </r>
  </si>
  <si>
    <t>ITAÍ, 22 DE DEZEMBRO DE 2021</t>
  </si>
  <si>
    <r>
      <t>DATA BASE:</t>
    </r>
    <r>
      <rPr>
        <sz val="11"/>
        <rFont val="Arial"/>
        <family val="2"/>
      </rPr>
      <t xml:space="preserve"> CDHU 184 (NOVEMBRO/2021)  - (NÃO DESONERADO)</t>
    </r>
  </si>
  <si>
    <t xml:space="preserve"> MEMORIAL DE CÁLCULO </t>
  </si>
  <si>
    <t>29,02 m² x 2,2 kg (rampa)</t>
  </si>
  <si>
    <t>MEMORIAL DE CÁLCULO ESTRUTURAL</t>
  </si>
  <si>
    <t>REMOÇÃO DE CERAMICA - LADO INTERNO</t>
  </si>
  <si>
    <t>REMOÇÃO PINTURA LAJE</t>
  </si>
  <si>
    <t>PINTURA LAJE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</si>
</sst>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0\.00\.00"/>
    <numFmt numFmtId="167" formatCode="00\.00\.000"/>
    <numFmt numFmtId="168" formatCode="#,##0.0000000"/>
    <numFmt numFmtId="169" formatCode="#,##0.000000"/>
    <numFmt numFmtId="171" formatCode="_(&quot;R$&quot;* #,##0.00_);_(&quot;R$&quot;* \(#,##0.00\);_(&quot;R$&quot;* &quot;-&quot;??_);_(@_)"/>
    <numFmt numFmtId="172" formatCode="&quot;R$&quot;\ #,##0.00"/>
    <numFmt numFmtId="174" formatCode="_-&quot;R$&quot;\ * #,##0.000_-;\-&quot;R$&quot;\ * #,##0.000_-;_-&quot;R$&quot;\ * &quot;-&quot;??_-;_-@_-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Technical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name val="Cambria"/>
      <family val="1"/>
    </font>
    <font>
      <sz val="11"/>
      <name val="Cambria"/>
      <family val="1"/>
    </font>
    <font>
      <b/>
      <sz val="12"/>
      <name val="Cambria"/>
      <family val="1"/>
    </font>
    <font>
      <i/>
      <sz val="12"/>
      <name val="Cambria"/>
      <family val="1"/>
    </font>
    <font>
      <sz val="12"/>
      <name val="Cambria"/>
      <family val="1"/>
    </font>
    <font>
      <b/>
      <sz val="11"/>
      <name val="Times New Roman"/>
      <family val="1"/>
    </font>
    <font>
      <b/>
      <sz val="10"/>
      <name val="Cambria"/>
      <family val="1"/>
    </font>
    <font>
      <sz val="10"/>
      <name val="Cambria"/>
      <family val="1"/>
    </font>
    <font>
      <sz val="10"/>
      <color rgb="FF000000"/>
      <name val="Cambria"/>
      <family val="1"/>
    </font>
    <font>
      <sz val="8"/>
      <color indexed="8"/>
      <name val="aRoman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sz val="10"/>
      <color theme="1"/>
      <name val="Calibri"/>
      <family val="2"/>
    </font>
    <font>
      <b/>
      <sz val="11"/>
      <color rgb="FFFF0000"/>
      <name val="Arial"/>
      <family val="2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0">
    <xf numFmtId="0" fontId="0" fillId="0" borderId="0"/>
    <xf numFmtId="165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8" fillId="0" borderId="0"/>
    <xf numFmtId="0" fontId="6" fillId="0" borderId="0"/>
    <xf numFmtId="0" fontId="9" fillId="0" borderId="0"/>
    <xf numFmtId="43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17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5" fillId="0" borderId="0"/>
    <xf numFmtId="0" fontId="5" fillId="0" borderId="0"/>
    <xf numFmtId="0" fontId="9" fillId="0" borderId="0"/>
    <xf numFmtId="43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43" fontId="6" fillId="0" borderId="0" applyFont="0" applyFill="0" applyBorder="0" applyAlignment="0" applyProtection="0"/>
  </cellStyleXfs>
  <cellXfs count="493">
    <xf numFmtId="0" fontId="0" fillId="0" borderId="0" xfId="0"/>
    <xf numFmtId="166" fontId="12" fillId="2" borderId="2" xfId="0" applyNumberFormat="1" applyFont="1" applyFill="1" applyBorder="1" applyAlignment="1"/>
    <xf numFmtId="0" fontId="12" fillId="2" borderId="0" xfId="0" applyFont="1" applyFill="1"/>
    <xf numFmtId="166" fontId="12" fillId="2" borderId="0" xfId="0" applyNumberFormat="1" applyFont="1" applyFill="1" applyBorder="1" applyAlignment="1"/>
    <xf numFmtId="166" fontId="13" fillId="2" borderId="0" xfId="0" applyNumberFormat="1" applyFont="1" applyFill="1" applyBorder="1" applyAlignment="1">
      <alignment horizontal="right" vertical="center"/>
    </xf>
    <xf numFmtId="166" fontId="13" fillId="2" borderId="0" xfId="0" applyNumberFormat="1" applyFont="1" applyFill="1" applyBorder="1" applyAlignment="1">
      <alignment horizontal="left" vertical="center"/>
    </xf>
    <xf numFmtId="0" fontId="12" fillId="2" borderId="0" xfId="0" applyFont="1" applyFill="1" applyBorder="1"/>
    <xf numFmtId="0" fontId="12" fillId="2" borderId="1" xfId="0" applyFont="1" applyFill="1" applyBorder="1"/>
    <xf numFmtId="166" fontId="13" fillId="2" borderId="3" xfId="0" applyNumberFormat="1" applyFont="1" applyFill="1" applyBorder="1" applyAlignment="1">
      <alignment horizontal="left" vertical="center"/>
    </xf>
    <xf numFmtId="167" fontId="13" fillId="2" borderId="3" xfId="0" applyNumberFormat="1" applyFont="1" applyFill="1" applyBorder="1" applyAlignment="1">
      <alignment horizontal="left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4" fillId="2" borderId="11" xfId="0" applyFont="1" applyFill="1" applyBorder="1" applyAlignment="1">
      <alignment horizontal="center" vertical="center"/>
    </xf>
    <xf numFmtId="49" fontId="12" fillId="2" borderId="19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vertical="center"/>
    </xf>
    <xf numFmtId="166" fontId="13" fillId="2" borderId="9" xfId="0" applyNumberFormat="1" applyFont="1" applyFill="1" applyBorder="1" applyAlignment="1">
      <alignment horizontal="center" vertical="center"/>
    </xf>
    <xf numFmtId="164" fontId="14" fillId="2" borderId="9" xfId="8" applyFont="1" applyFill="1" applyBorder="1" applyAlignment="1">
      <alignment horizontal="center" vertical="center"/>
    </xf>
    <xf numFmtId="167" fontId="13" fillId="2" borderId="9" xfId="0" applyNumberFormat="1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>
      <alignment horizontal="center" vertical="center"/>
    </xf>
    <xf numFmtId="3" fontId="13" fillId="3" borderId="9" xfId="0" applyNumberFormat="1" applyFont="1" applyFill="1" applyBorder="1" applyAlignment="1">
      <alignment horizontal="center" vertical="center"/>
    </xf>
    <xf numFmtId="166" fontId="12" fillId="2" borderId="9" xfId="0" applyNumberFormat="1" applyFont="1" applyFill="1" applyBorder="1" applyAlignment="1">
      <alignment horizontal="center"/>
    </xf>
    <xf numFmtId="166" fontId="12" fillId="2" borderId="21" xfId="0" applyNumberFormat="1" applyFont="1" applyFill="1" applyBorder="1" applyAlignment="1">
      <alignment horizontal="center"/>
    </xf>
    <xf numFmtId="0" fontId="12" fillId="2" borderId="21" xfId="0" applyFont="1" applyFill="1" applyBorder="1"/>
    <xf numFmtId="0" fontId="12" fillId="2" borderId="21" xfId="0" applyFont="1" applyFill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164" fontId="13" fillId="0" borderId="12" xfId="8" applyNumberFormat="1" applyFont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wrapText="1"/>
    </xf>
    <xf numFmtId="0" fontId="12" fillId="0" borderId="0" xfId="0" applyFont="1" applyBorder="1" applyAlignment="1">
      <alignment horizontal="center" wrapText="1"/>
    </xf>
    <xf numFmtId="166" fontId="12" fillId="2" borderId="0" xfId="0" applyNumberFormat="1" applyFont="1" applyFill="1" applyAlignment="1">
      <alignment horizontal="center"/>
    </xf>
    <xf numFmtId="4" fontId="12" fillId="2" borderId="0" xfId="0" quotePrefix="1" applyNumberFormat="1" applyFont="1" applyFill="1" applyBorder="1" applyAlignment="1">
      <alignment vertical="center"/>
    </xf>
    <xf numFmtId="0" fontId="12" fillId="0" borderId="0" xfId="0" applyFont="1"/>
    <xf numFmtId="169" fontId="12" fillId="2" borderId="0" xfId="0" applyNumberFormat="1" applyFont="1" applyFill="1" applyAlignment="1">
      <alignment vertical="center"/>
    </xf>
    <xf numFmtId="4" fontId="12" fillId="2" borderId="0" xfId="0" applyNumberFormat="1" applyFont="1" applyFill="1" applyAlignment="1">
      <alignment vertical="center"/>
    </xf>
    <xf numFmtId="168" fontId="12" fillId="2" borderId="0" xfId="0" applyNumberFormat="1" applyFont="1" applyFill="1" applyAlignment="1">
      <alignment vertical="center"/>
    </xf>
    <xf numFmtId="0" fontId="12" fillId="2" borderId="5" xfId="0" applyFont="1" applyFill="1" applyBorder="1"/>
    <xf numFmtId="0" fontId="12" fillId="2" borderId="4" xfId="0" applyFont="1" applyFill="1" applyBorder="1"/>
    <xf numFmtId="0" fontId="14" fillId="2" borderId="14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/>
    </xf>
    <xf numFmtId="0" fontId="12" fillId="2" borderId="17" xfId="0" applyFont="1" applyFill="1" applyBorder="1"/>
    <xf numFmtId="164" fontId="12" fillId="2" borderId="23" xfId="0" applyNumberFormat="1" applyFont="1" applyFill="1" applyBorder="1" applyAlignment="1">
      <alignment vertical="center"/>
    </xf>
    <xf numFmtId="0" fontId="13" fillId="0" borderId="24" xfId="0" applyFont="1" applyBorder="1" applyAlignment="1">
      <alignment horizontal="center" vertical="center" wrapText="1"/>
    </xf>
    <xf numFmtId="164" fontId="13" fillId="0" borderId="25" xfId="8" applyNumberFormat="1" applyFont="1" applyBorder="1" applyAlignment="1">
      <alignment horizontal="right" vertical="center" wrapText="1"/>
    </xf>
    <xf numFmtId="0" fontId="12" fillId="2" borderId="26" xfId="0" applyFont="1" applyFill="1" applyBorder="1" applyAlignment="1">
      <alignment vertical="center"/>
    </xf>
    <xf numFmtId="0" fontId="12" fillId="2" borderId="21" xfId="0" applyFont="1" applyFill="1" applyBorder="1" applyAlignment="1">
      <alignment vertical="center"/>
    </xf>
    <xf numFmtId="44" fontId="12" fillId="2" borderId="0" xfId="0" applyNumberFormat="1" applyFont="1" applyFill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0" fontId="0" fillId="0" borderId="0" xfId="0" applyFill="1"/>
    <xf numFmtId="0" fontId="6" fillId="0" borderId="0" xfId="5" quotePrefix="1" applyFont="1" applyFill="1" applyBorder="1" applyAlignment="1">
      <alignment horizontal="left" vertical="center" wrapText="1"/>
    </xf>
    <xf numFmtId="0" fontId="17" fillId="0" borderId="19" xfId="0" applyFont="1" applyBorder="1" applyAlignment="1">
      <alignment horizontal="center"/>
    </xf>
    <xf numFmtId="2" fontId="17" fillId="0" borderId="9" xfId="0" applyNumberFormat="1" applyFont="1" applyBorder="1" applyAlignment="1">
      <alignment horizontal="center"/>
    </xf>
    <xf numFmtId="2" fontId="17" fillId="0" borderId="11" xfId="0" applyNumberFormat="1" applyFont="1" applyBorder="1" applyAlignment="1">
      <alignment horizontal="center"/>
    </xf>
    <xf numFmtId="1" fontId="17" fillId="0" borderId="9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justify" vertical="center"/>
    </xf>
    <xf numFmtId="0" fontId="23" fillId="0" borderId="0" xfId="0" applyFont="1" applyAlignment="1">
      <alignment horizontal="left" vertical="center" indent="7"/>
    </xf>
    <xf numFmtId="0" fontId="24" fillId="0" borderId="0" xfId="0" applyFont="1" applyAlignment="1">
      <alignment horizontal="justify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justify" vertical="center" wrapText="1"/>
    </xf>
    <xf numFmtId="10" fontId="25" fillId="0" borderId="4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2" fillId="2" borderId="19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10" fontId="27" fillId="0" borderId="4" xfId="0" applyNumberFormat="1" applyFont="1" applyBorder="1" applyAlignment="1">
      <alignment horizontal="center" vertical="center" wrapText="1"/>
    </xf>
    <xf numFmtId="10" fontId="26" fillId="0" borderId="4" xfId="10" applyNumberFormat="1" applyFont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28" fillId="0" borderId="0" xfId="11" applyFont="1" applyBorder="1" applyAlignment="1">
      <alignment wrapText="1"/>
    </xf>
    <xf numFmtId="166" fontId="12" fillId="2" borderId="2" xfId="0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31" fillId="0" borderId="9" xfId="0" applyFont="1" applyBorder="1" applyAlignment="1">
      <alignment wrapText="1"/>
    </xf>
    <xf numFmtId="0" fontId="12" fillId="2" borderId="7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/>
    </xf>
    <xf numFmtId="0" fontId="30" fillId="3" borderId="9" xfId="0" applyFont="1" applyFill="1" applyBorder="1" applyAlignment="1">
      <alignment horizontal="center" vertical="center"/>
    </xf>
    <xf numFmtId="49" fontId="7" fillId="2" borderId="9" xfId="4" applyNumberFormat="1" applyFont="1" applyFill="1" applyBorder="1" applyAlignment="1">
      <alignment horizontal="center" vertical="center" wrapText="1"/>
    </xf>
    <xf numFmtId="0" fontId="6" fillId="2" borderId="9" xfId="5" quotePrefix="1" applyNumberFormat="1" applyFont="1" applyFill="1" applyBorder="1" applyAlignment="1">
      <alignment horizontal="center" vertical="center" wrapText="1"/>
    </xf>
    <xf numFmtId="0" fontId="6" fillId="2" borderId="9" xfId="4" applyNumberFormat="1" applyFont="1" applyFill="1" applyBorder="1" applyAlignment="1">
      <alignment horizontal="center" vertical="center"/>
    </xf>
    <xf numFmtId="49" fontId="6" fillId="2" borderId="9" xfId="4" applyNumberFormat="1" applyFont="1" applyFill="1" applyBorder="1" applyAlignment="1">
      <alignment horizontal="center" vertical="center" wrapText="1"/>
    </xf>
    <xf numFmtId="0" fontId="17" fillId="2" borderId="9" xfId="5" quotePrefix="1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/>
    </xf>
    <xf numFmtId="0" fontId="6" fillId="0" borderId="9" xfId="0" applyFont="1" applyBorder="1"/>
    <xf numFmtId="0" fontId="6" fillId="0" borderId="9" xfId="0" applyFont="1" applyFill="1" applyBorder="1" applyAlignment="1">
      <alignment horizontal="center" wrapText="1"/>
    </xf>
    <xf numFmtId="0" fontId="6" fillId="0" borderId="9" xfId="0" applyFont="1" applyFill="1" applyBorder="1"/>
    <xf numFmtId="0" fontId="6" fillId="0" borderId="9" xfId="0" applyFont="1" applyFill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0" fillId="0" borderId="9" xfId="0" applyBorder="1"/>
    <xf numFmtId="0" fontId="6" fillId="0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49" fontId="17" fillId="2" borderId="9" xfId="4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7" fillId="5" borderId="9" xfId="4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49" fontId="18" fillId="5" borderId="9" xfId="4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166" fontId="14" fillId="2" borderId="9" xfId="0" applyNumberFormat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0" borderId="3" xfId="0" applyFont="1" applyBorder="1"/>
    <xf numFmtId="0" fontId="12" fillId="0" borderId="3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wrapText="1"/>
    </xf>
    <xf numFmtId="0" fontId="12" fillId="2" borderId="4" xfId="0" applyFont="1" applyFill="1" applyBorder="1" applyAlignment="1">
      <alignment vertical="center"/>
    </xf>
    <xf numFmtId="0" fontId="31" fillId="0" borderId="0" xfId="0" applyFont="1" applyFill="1"/>
    <xf numFmtId="0" fontId="31" fillId="0" borderId="0" xfId="0" applyFont="1"/>
    <xf numFmtId="0" fontId="33" fillId="2" borderId="0" xfId="0" applyFont="1" applyFill="1" applyAlignment="1">
      <alignment vertical="center"/>
    </xf>
    <xf numFmtId="0" fontId="6" fillId="0" borderId="0" xfId="0" applyFont="1" applyFill="1"/>
    <xf numFmtId="0" fontId="34" fillId="0" borderId="0" xfId="0" applyFont="1" applyFill="1"/>
    <xf numFmtId="0" fontId="34" fillId="0" borderId="19" xfId="0" applyFont="1" applyFill="1" applyBorder="1" applyAlignment="1">
      <alignment horizontal="center"/>
    </xf>
    <xf numFmtId="2" fontId="34" fillId="0" borderId="9" xfId="0" applyNumberFormat="1" applyFont="1" applyFill="1" applyBorder="1" applyAlignment="1">
      <alignment horizontal="center"/>
    </xf>
    <xf numFmtId="1" fontId="34" fillId="0" borderId="9" xfId="0" applyNumberFormat="1" applyFont="1" applyFill="1" applyBorder="1" applyAlignment="1">
      <alignment horizontal="center"/>
    </xf>
    <xf numFmtId="2" fontId="34" fillId="0" borderId="11" xfId="0" applyNumberFormat="1" applyFont="1" applyFill="1" applyBorder="1" applyAlignment="1">
      <alignment horizontal="center"/>
    </xf>
    <xf numFmtId="0" fontId="34" fillId="0" borderId="0" xfId="0" applyFont="1"/>
    <xf numFmtId="166" fontId="30" fillId="2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wrapText="1"/>
    </xf>
    <xf numFmtId="0" fontId="13" fillId="2" borderId="20" xfId="0" applyFont="1" applyFill="1" applyBorder="1" applyAlignment="1">
      <alignment horizontal="center" vertical="center" wrapText="1"/>
    </xf>
    <xf numFmtId="164" fontId="12" fillId="2" borderId="16" xfId="8" applyFont="1" applyFill="1" applyBorder="1"/>
    <xf numFmtId="0" fontId="4" fillId="0" borderId="9" xfId="15" applyBorder="1" applyAlignment="1">
      <alignment horizontal="center"/>
    </xf>
    <xf numFmtId="0" fontId="4" fillId="0" borderId="0" xfId="15"/>
    <xf numFmtId="0" fontId="32" fillId="0" borderId="9" xfId="15" applyFont="1" applyBorder="1" applyAlignment="1">
      <alignment horizontal="center" vertical="center"/>
    </xf>
    <xf numFmtId="0" fontId="32" fillId="0" borderId="9" xfId="15" applyFont="1" applyBorder="1" applyAlignment="1">
      <alignment horizontal="center" vertical="center" wrapText="1"/>
    </xf>
    <xf numFmtId="2" fontId="0" fillId="0" borderId="9" xfId="16" applyNumberFormat="1" applyFont="1" applyBorder="1" applyAlignment="1">
      <alignment horizontal="center"/>
    </xf>
    <xf numFmtId="0" fontId="4" fillId="0" borderId="0" xfId="15" applyAlignment="1">
      <alignment horizontal="center"/>
    </xf>
    <xf numFmtId="43" fontId="32" fillId="0" borderId="9" xfId="16" applyFont="1" applyBorder="1" applyAlignment="1">
      <alignment horizontal="center" vertical="center" wrapText="1"/>
    </xf>
    <xf numFmtId="2" fontId="32" fillId="0" borderId="9" xfId="16" applyNumberFormat="1" applyFont="1" applyBorder="1" applyAlignment="1">
      <alignment horizontal="center"/>
    </xf>
    <xf numFmtId="43" fontId="0" fillId="0" borderId="0" xfId="16" applyFont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31" fillId="0" borderId="19" xfId="0" applyFont="1" applyBorder="1" applyAlignment="1">
      <alignment horizontal="center"/>
    </xf>
    <xf numFmtId="2" fontId="31" fillId="0" borderId="9" xfId="0" applyNumberFormat="1" applyFont="1" applyBorder="1" applyAlignment="1">
      <alignment horizontal="center"/>
    </xf>
    <xf numFmtId="1" fontId="31" fillId="0" borderId="9" xfId="0" applyNumberFormat="1" applyFont="1" applyBorder="1" applyAlignment="1">
      <alignment horizontal="center"/>
    </xf>
    <xf numFmtId="2" fontId="31" fillId="0" borderId="11" xfId="0" applyNumberFormat="1" applyFont="1" applyBorder="1" applyAlignment="1">
      <alignment horizontal="center"/>
    </xf>
    <xf numFmtId="0" fontId="6" fillId="0" borderId="0" xfId="0" applyFont="1"/>
    <xf numFmtId="0" fontId="17" fillId="2" borderId="9" xfId="0" applyNumberFormat="1" applyFont="1" applyFill="1" applyBorder="1" applyAlignment="1">
      <alignment horizontal="center" vertical="center" wrapText="1"/>
    </xf>
    <xf numFmtId="0" fontId="17" fillId="2" borderId="9" xfId="0" applyNumberFormat="1" applyFont="1" applyFill="1" applyBorder="1" applyAlignment="1">
      <alignment horizontal="center" vertical="center"/>
    </xf>
    <xf numFmtId="0" fontId="4" fillId="0" borderId="0" xfId="15" applyAlignment="1">
      <alignment horizontal="center"/>
    </xf>
    <xf numFmtId="0" fontId="32" fillId="0" borderId="0" xfId="15" applyFont="1" applyFill="1" applyBorder="1" applyAlignment="1">
      <alignment horizontal="center"/>
    </xf>
    <xf numFmtId="2" fontId="32" fillId="0" borderId="0" xfId="15" applyNumberFormat="1" applyFont="1" applyFill="1" applyBorder="1" applyAlignment="1">
      <alignment horizontal="center"/>
    </xf>
    <xf numFmtId="49" fontId="6" fillId="0" borderId="9" xfId="4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2" fontId="0" fillId="0" borderId="34" xfId="0" applyNumberFormat="1" applyBorder="1" applyAlignment="1">
      <alignment horizontal="center"/>
    </xf>
    <xf numFmtId="172" fontId="0" fillId="0" borderId="35" xfId="0" applyNumberForma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172" fontId="0" fillId="7" borderId="27" xfId="0" applyNumberFormat="1" applyFill="1" applyBorder="1" applyAlignment="1">
      <alignment horizontal="center"/>
    </xf>
    <xf numFmtId="172" fontId="0" fillId="10" borderId="27" xfId="0" applyNumberFormat="1" applyFill="1" applyBorder="1" applyAlignment="1">
      <alignment horizontal="center"/>
    </xf>
    <xf numFmtId="172" fontId="0" fillId="9" borderId="27" xfId="0" applyNumberFormat="1" applyFill="1" applyBorder="1" applyAlignment="1">
      <alignment horizontal="center"/>
    </xf>
    <xf numFmtId="172" fontId="7" fillId="7" borderId="28" xfId="0" applyNumberFormat="1" applyFont="1" applyFill="1" applyBorder="1"/>
    <xf numFmtId="2" fontId="0" fillId="0" borderId="34" xfId="0" applyNumberFormat="1" applyBorder="1" applyAlignment="1">
      <alignment horizontal="center"/>
    </xf>
    <xf numFmtId="0" fontId="7" fillId="0" borderId="38" xfId="0" applyFont="1" applyBorder="1" applyAlignment="1">
      <alignment horizontal="center"/>
    </xf>
    <xf numFmtId="172" fontId="0" fillId="0" borderId="38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0" fontId="7" fillId="7" borderId="27" xfId="0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9" borderId="27" xfId="0" applyFont="1" applyFill="1" applyBorder="1" applyAlignment="1">
      <alignment horizontal="center"/>
    </xf>
    <xf numFmtId="172" fontId="18" fillId="6" borderId="27" xfId="0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72" fontId="0" fillId="0" borderId="0" xfId="0" applyNumberFormat="1" applyFill="1" applyBorder="1" applyAlignment="1">
      <alignment horizontal="center"/>
    </xf>
    <xf numFmtId="172" fontId="7" fillId="0" borderId="0" xfId="0" applyNumberFormat="1" applyFont="1" applyFill="1" applyBorder="1"/>
    <xf numFmtId="0" fontId="7" fillId="0" borderId="27" xfId="0" applyFont="1" applyBorder="1"/>
    <xf numFmtId="2" fontId="7" fillId="6" borderId="37" xfId="0" applyNumberFormat="1" applyFont="1" applyFill="1" applyBorder="1" applyAlignment="1">
      <alignment horizontal="center"/>
    </xf>
    <xf numFmtId="0" fontId="32" fillId="0" borderId="39" xfId="0" applyFont="1" applyBorder="1" applyAlignment="1">
      <alignment horizontal="center"/>
    </xf>
    <xf numFmtId="0" fontId="32" fillId="0" borderId="40" xfId="0" applyFont="1" applyBorder="1"/>
    <xf numFmtId="165" fontId="32" fillId="0" borderId="40" xfId="1" applyFont="1" applyBorder="1" applyAlignment="1">
      <alignment horizontal="center"/>
    </xf>
    <xf numFmtId="0" fontId="32" fillId="0" borderId="40" xfId="0" applyFont="1" applyBorder="1" applyAlignment="1">
      <alignment horizontal="center"/>
    </xf>
    <xf numFmtId="165" fontId="32" fillId="0" borderId="41" xfId="1" applyFont="1" applyBorder="1" applyAlignment="1">
      <alignment horizontal="center"/>
    </xf>
    <xf numFmtId="165" fontId="32" fillId="0" borderId="31" xfId="1" applyFont="1" applyBorder="1" applyAlignment="1">
      <alignment horizontal="center"/>
    </xf>
    <xf numFmtId="165" fontId="32" fillId="0" borderId="32" xfId="1" applyFont="1" applyBorder="1" applyAlignment="1">
      <alignment horizontal="center"/>
    </xf>
    <xf numFmtId="2" fontId="0" fillId="6" borderId="18" xfId="0" applyNumberFormat="1" applyFill="1" applyBorder="1" applyAlignment="1">
      <alignment horizontal="center"/>
    </xf>
    <xf numFmtId="2" fontId="6" fillId="6" borderId="18" xfId="1" applyNumberFormat="1" applyFont="1" applyFill="1" applyBorder="1" applyAlignment="1">
      <alignment horizontal="center"/>
    </xf>
    <xf numFmtId="2" fontId="0" fillId="6" borderId="13" xfId="1" applyNumberFormat="1" applyFont="1" applyFill="1" applyBorder="1" applyAlignment="1">
      <alignment horizontal="center"/>
    </xf>
    <xf numFmtId="2" fontId="0" fillId="6" borderId="22" xfId="0" applyNumberFormat="1" applyFill="1" applyBorder="1" applyAlignment="1">
      <alignment horizontal="center"/>
    </xf>
    <xf numFmtId="2" fontId="0" fillId="6" borderId="13" xfId="0" applyNumberFormat="1" applyFill="1" applyBorder="1" applyAlignment="1">
      <alignment horizontal="center"/>
    </xf>
    <xf numFmtId="2" fontId="0" fillId="6" borderId="9" xfId="0" applyNumberFormat="1" applyFill="1" applyBorder="1" applyAlignment="1">
      <alignment horizontal="center"/>
    </xf>
    <xf numFmtId="2" fontId="6" fillId="6" borderId="9" xfId="1" applyNumberFormat="1" applyFont="1" applyFill="1" applyBorder="1" applyAlignment="1">
      <alignment horizontal="center"/>
    </xf>
    <xf numFmtId="2" fontId="0" fillId="6" borderId="11" xfId="1" applyNumberFormat="1" applyFont="1" applyFill="1" applyBorder="1" applyAlignment="1">
      <alignment horizontal="center"/>
    </xf>
    <xf numFmtId="2" fontId="0" fillId="6" borderId="19" xfId="0" applyNumberFormat="1" applyFill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2" fontId="0" fillId="6" borderId="21" xfId="0" applyNumberFormat="1" applyFill="1" applyBorder="1" applyAlignment="1">
      <alignment horizontal="center"/>
    </xf>
    <xf numFmtId="2" fontId="6" fillId="6" borderId="21" xfId="1" applyNumberFormat="1" applyFont="1" applyFill="1" applyBorder="1" applyAlignment="1">
      <alignment horizontal="center"/>
    </xf>
    <xf numFmtId="2" fontId="0" fillId="6" borderId="12" xfId="1" applyNumberFormat="1" applyFont="1" applyFill="1" applyBorder="1" applyAlignment="1">
      <alignment horizontal="center"/>
    </xf>
    <xf numFmtId="2" fontId="0" fillId="8" borderId="25" xfId="0" applyNumberFormat="1" applyFill="1" applyBorder="1" applyAlignment="1">
      <alignment horizontal="center" vertical="center"/>
    </xf>
    <xf numFmtId="2" fontId="17" fillId="8" borderId="25" xfId="1" applyNumberFormat="1" applyFont="1" applyFill="1" applyBorder="1" applyAlignment="1">
      <alignment horizontal="center" vertical="center"/>
    </xf>
    <xf numFmtId="2" fontId="0" fillId="8" borderId="26" xfId="1" applyNumberFormat="1" applyFont="1" applyFill="1" applyBorder="1" applyAlignment="1">
      <alignment horizontal="center" vertical="center"/>
    </xf>
    <xf numFmtId="2" fontId="0" fillId="8" borderId="19" xfId="0" applyNumberFormat="1" applyFill="1" applyBorder="1" applyAlignment="1">
      <alignment horizontal="center" vertical="center"/>
    </xf>
    <xf numFmtId="2" fontId="0" fillId="8" borderId="9" xfId="0" applyNumberFormat="1" applyFill="1" applyBorder="1" applyAlignment="1">
      <alignment horizontal="center" vertical="center"/>
    </xf>
    <xf numFmtId="2" fontId="17" fillId="8" borderId="9" xfId="1" applyNumberFormat="1" applyFont="1" applyFill="1" applyBorder="1" applyAlignment="1">
      <alignment horizontal="center" vertical="center"/>
    </xf>
    <xf numFmtId="2" fontId="0" fillId="8" borderId="11" xfId="0" applyNumberFormat="1" applyFill="1" applyBorder="1" applyAlignment="1">
      <alignment horizontal="center" vertical="center"/>
    </xf>
    <xf numFmtId="2" fontId="6" fillId="8" borderId="9" xfId="1" applyNumberFormat="1" applyFont="1" applyFill="1" applyBorder="1" applyAlignment="1">
      <alignment horizontal="center" vertical="center"/>
    </xf>
    <xf numFmtId="2" fontId="0" fillId="8" borderId="11" xfId="1" applyNumberFormat="1" applyFont="1" applyFill="1" applyBorder="1" applyAlignment="1">
      <alignment horizontal="center" vertical="center"/>
    </xf>
    <xf numFmtId="2" fontId="0" fillId="8" borderId="21" xfId="0" applyNumberFormat="1" applyFill="1" applyBorder="1" applyAlignment="1">
      <alignment horizontal="center" vertical="center"/>
    </xf>
    <xf numFmtId="2" fontId="6" fillId="8" borderId="21" xfId="1" applyNumberFormat="1" applyFont="1" applyFill="1" applyBorder="1" applyAlignment="1">
      <alignment horizontal="center" vertical="center"/>
    </xf>
    <xf numFmtId="2" fontId="0" fillId="8" borderId="12" xfId="1" applyNumberFormat="1" applyFont="1" applyFill="1" applyBorder="1" applyAlignment="1">
      <alignment horizontal="center" vertical="center"/>
    </xf>
    <xf numFmtId="2" fontId="0" fillId="7" borderId="25" xfId="0" applyNumberFormat="1" applyFill="1" applyBorder="1" applyAlignment="1">
      <alignment horizontal="center" vertical="center"/>
    </xf>
    <xf numFmtId="0" fontId="6" fillId="7" borderId="25" xfId="5" applyFont="1" applyFill="1" applyBorder="1" applyAlignment="1">
      <alignment horizontal="center" vertical="center" wrapText="1"/>
    </xf>
    <xf numFmtId="2" fontId="0" fillId="7" borderId="26" xfId="1" applyNumberFormat="1" applyFont="1" applyFill="1" applyBorder="1" applyAlignment="1">
      <alignment horizontal="center"/>
    </xf>
    <xf numFmtId="2" fontId="0" fillId="7" borderId="19" xfId="0" applyNumberFormat="1" applyFill="1" applyBorder="1" applyAlignment="1">
      <alignment horizontal="center" vertical="center"/>
    </xf>
    <xf numFmtId="2" fontId="0" fillId="7" borderId="9" xfId="0" applyNumberFormat="1" applyFill="1" applyBorder="1" applyAlignment="1">
      <alignment horizontal="center" vertical="center"/>
    </xf>
    <xf numFmtId="0" fontId="6" fillId="7" borderId="9" xfId="5" applyFont="1" applyFill="1" applyBorder="1" applyAlignment="1">
      <alignment horizontal="center" vertical="center" wrapText="1"/>
    </xf>
    <xf numFmtId="2" fontId="6" fillId="7" borderId="11" xfId="5" applyNumberFormat="1" applyFont="1" applyFill="1" applyBorder="1" applyAlignment="1">
      <alignment horizontal="center" vertical="center" wrapText="1"/>
    </xf>
    <xf numFmtId="2" fontId="0" fillId="7" borderId="11" xfId="1" applyNumberFormat="1" applyFont="1" applyFill="1" applyBorder="1" applyAlignment="1">
      <alignment horizontal="center"/>
    </xf>
    <xf numFmtId="2" fontId="0" fillId="7" borderId="16" xfId="0" applyNumberFormat="1" applyFill="1" applyBorder="1" applyAlignment="1">
      <alignment horizontal="center" vertical="center"/>
    </xf>
    <xf numFmtId="0" fontId="6" fillId="7" borderId="16" xfId="5" applyFont="1" applyFill="1" applyBorder="1" applyAlignment="1">
      <alignment horizontal="center" vertical="center" wrapText="1"/>
    </xf>
    <xf numFmtId="2" fontId="0" fillId="7" borderId="23" xfId="1" applyNumberFormat="1" applyFont="1" applyFill="1" applyBorder="1" applyAlignment="1">
      <alignment horizontal="center"/>
    </xf>
    <xf numFmtId="2" fontId="0" fillId="7" borderId="42" xfId="0" applyNumberFormat="1" applyFill="1" applyBorder="1" applyAlignment="1">
      <alignment horizontal="center" vertical="center"/>
    </xf>
    <xf numFmtId="2" fontId="6" fillId="7" borderId="23" xfId="5" applyNumberFormat="1" applyFont="1" applyFill="1" applyBorder="1" applyAlignment="1">
      <alignment horizontal="center" vertical="center" wrapText="1"/>
    </xf>
    <xf numFmtId="2" fontId="32" fillId="0" borderId="27" xfId="1" applyNumberFormat="1" applyFont="1" applyBorder="1" applyAlignment="1">
      <alignment horizontal="center"/>
    </xf>
    <xf numFmtId="2" fontId="32" fillId="0" borderId="27" xfId="0" applyNumberFormat="1" applyFont="1" applyBorder="1" applyAlignment="1">
      <alignment horizontal="center"/>
    </xf>
    <xf numFmtId="0" fontId="7" fillId="0" borderId="9" xfId="5" applyFont="1" applyBorder="1" applyAlignment="1">
      <alignment horizontal="center" vertical="center" wrapText="1"/>
    </xf>
    <xf numFmtId="0" fontId="18" fillId="0" borderId="9" xfId="5" applyFont="1" applyBorder="1" applyAlignment="1">
      <alignment horizontal="center" vertical="center" wrapText="1"/>
    </xf>
    <xf numFmtId="0" fontId="17" fillId="0" borderId="9" xfId="5" applyFont="1" applyBorder="1" applyAlignment="1">
      <alignment vertical="center" wrapText="1"/>
    </xf>
    <xf numFmtId="0" fontId="6" fillId="0" borderId="9" xfId="5" applyFont="1" applyBorder="1" applyAlignment="1">
      <alignment vertical="center" wrapText="1"/>
    </xf>
    <xf numFmtId="0" fontId="0" fillId="0" borderId="0" xfId="0" quotePrefix="1"/>
    <xf numFmtId="0" fontId="4" fillId="0" borderId="0" xfId="15" quotePrefix="1"/>
    <xf numFmtId="0" fontId="0" fillId="0" borderId="0" xfId="0" quotePrefix="1" applyFill="1"/>
    <xf numFmtId="0" fontId="17" fillId="0" borderId="9" xfId="17" applyFont="1" applyFill="1" applyBorder="1" applyAlignment="1">
      <alignment horizontal="center"/>
    </xf>
    <xf numFmtId="0" fontId="17" fillId="0" borderId="9" xfId="17" applyFont="1" applyFill="1" applyBorder="1" applyAlignment="1">
      <alignment wrapText="1"/>
    </xf>
    <xf numFmtId="0" fontId="7" fillId="0" borderId="9" xfId="17" applyFont="1" applyBorder="1" applyAlignment="1">
      <alignment vertical="center"/>
    </xf>
    <xf numFmtId="0" fontId="3" fillId="0" borderId="0" xfId="17"/>
    <xf numFmtId="0" fontId="7" fillId="0" borderId="9" xfId="17" applyFont="1" applyFill="1" applyBorder="1" applyAlignment="1">
      <alignment horizontal="center" vertical="center"/>
    </xf>
    <xf numFmtId="2" fontId="3" fillId="0" borderId="0" xfId="17" applyNumberFormat="1"/>
    <xf numFmtId="0" fontId="3" fillId="0" borderId="9" xfId="17" applyFont="1" applyBorder="1"/>
    <xf numFmtId="0" fontId="3" fillId="0" borderId="9" xfId="17" applyBorder="1"/>
    <xf numFmtId="4" fontId="3" fillId="0" borderId="0" xfId="17" applyNumberFormat="1"/>
    <xf numFmtId="0" fontId="3" fillId="0" borderId="0" xfId="17" applyAlignment="1">
      <alignment wrapText="1"/>
    </xf>
    <xf numFmtId="0" fontId="0" fillId="0" borderId="18" xfId="0" applyBorder="1"/>
    <xf numFmtId="0" fontId="6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7" fillId="2" borderId="0" xfId="4" applyNumberFormat="1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/>
    </xf>
    <xf numFmtId="0" fontId="4" fillId="2" borderId="0" xfId="15" applyFill="1" applyAlignment="1">
      <alignment horizontal="center"/>
    </xf>
    <xf numFmtId="0" fontId="4" fillId="2" borderId="0" xfId="15" applyFill="1" applyBorder="1" applyAlignment="1">
      <alignment horizontal="center"/>
    </xf>
    <xf numFmtId="2" fontId="0" fillId="2" borderId="0" xfId="16" applyNumberFormat="1" applyFont="1" applyFill="1" applyAlignment="1">
      <alignment horizontal="center"/>
    </xf>
    <xf numFmtId="0" fontId="32" fillId="2" borderId="0" xfId="15" applyFont="1" applyFill="1" applyAlignment="1">
      <alignment horizontal="center"/>
    </xf>
    <xf numFmtId="2" fontId="32" fillId="2" borderId="0" xfId="16" applyNumberFormat="1" applyFont="1" applyFill="1" applyAlignment="1">
      <alignment horizontal="center"/>
    </xf>
    <xf numFmtId="0" fontId="4" fillId="2" borderId="0" xfId="15" applyFill="1"/>
    <xf numFmtId="43" fontId="0" fillId="2" borderId="0" xfId="16" applyFont="1" applyFill="1" applyAlignment="1">
      <alignment horizontal="center"/>
    </xf>
    <xf numFmtId="0" fontId="0" fillId="2" borderId="0" xfId="0" applyFill="1"/>
    <xf numFmtId="2" fontId="29" fillId="0" borderId="9" xfId="0" quotePrefix="1" applyNumberFormat="1" applyFont="1" applyFill="1" applyBorder="1" applyAlignment="1">
      <alignment horizontal="center" vertical="center" wrapText="1"/>
    </xf>
    <xf numFmtId="4" fontId="12" fillId="0" borderId="9" xfId="0" applyNumberFormat="1" applyFont="1" applyFill="1" applyBorder="1" applyAlignment="1">
      <alignment horizontal="center" vertical="center"/>
    </xf>
    <xf numFmtId="174" fontId="29" fillId="0" borderId="9" xfId="8" quotePrefix="1" applyNumberFormat="1" applyFont="1" applyFill="1" applyBorder="1" applyAlignment="1">
      <alignment vertical="center" wrapText="1"/>
    </xf>
    <xf numFmtId="164" fontId="29" fillId="0" borderId="11" xfId="0" applyNumberFormat="1" applyFont="1" applyFill="1" applyBorder="1" applyAlignment="1">
      <alignment vertical="center"/>
    </xf>
    <xf numFmtId="2" fontId="12" fillId="0" borderId="9" xfId="0" quotePrefix="1" applyNumberFormat="1" applyFont="1" applyFill="1" applyBorder="1" applyAlignment="1">
      <alignment horizontal="center" vertical="center" wrapText="1"/>
    </xf>
    <xf numFmtId="164" fontId="12" fillId="0" borderId="9" xfId="8" quotePrefix="1" applyFont="1" applyFill="1" applyBorder="1" applyAlignment="1">
      <alignment vertical="center" wrapText="1"/>
    </xf>
    <xf numFmtId="164" fontId="12" fillId="0" borderId="14" xfId="8" applyFont="1" applyFill="1" applyBorder="1" applyAlignment="1">
      <alignment vertical="center"/>
    </xf>
    <xf numFmtId="164" fontId="12" fillId="0" borderId="11" xfId="0" applyNumberFormat="1" applyFont="1" applyFill="1" applyBorder="1" applyAlignment="1">
      <alignment vertical="center"/>
    </xf>
    <xf numFmtId="0" fontId="36" fillId="3" borderId="9" xfId="0" applyFont="1" applyFill="1" applyBorder="1" applyAlignment="1">
      <alignment horizontal="center" vertical="center"/>
    </xf>
    <xf numFmtId="2" fontId="12" fillId="0" borderId="9" xfId="0" quotePrefix="1" applyNumberFormat="1" applyFont="1" applyFill="1" applyBorder="1" applyAlignment="1">
      <alignment vertical="center" wrapText="1"/>
    </xf>
    <xf numFmtId="2" fontId="13" fillId="0" borderId="9" xfId="0" applyNumberFormat="1" applyFont="1" applyFill="1" applyBorder="1" applyAlignment="1">
      <alignment vertical="center" wrapText="1"/>
    </xf>
    <xf numFmtId="164" fontId="13" fillId="0" borderId="14" xfId="8" quotePrefix="1" applyFont="1" applyFill="1" applyBorder="1" applyAlignment="1">
      <alignment vertical="center"/>
    </xf>
    <xf numFmtId="164" fontId="13" fillId="0" borderId="11" xfId="0" applyNumberFormat="1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164" fontId="14" fillId="0" borderId="9" xfId="8" applyFont="1" applyFill="1" applyBorder="1" applyAlignment="1">
      <alignment horizontal="center" vertical="center"/>
    </xf>
    <xf numFmtId="164" fontId="14" fillId="0" borderId="14" xfId="8" applyFont="1" applyFill="1" applyBorder="1" applyAlignment="1">
      <alignment horizontal="center" vertical="center"/>
    </xf>
    <xf numFmtId="2" fontId="12" fillId="0" borderId="9" xfId="0" quotePrefix="1" applyNumberFormat="1" applyFont="1" applyFill="1" applyBorder="1" applyAlignment="1">
      <alignment horizontal="center" vertical="center"/>
    </xf>
    <xf numFmtId="164" fontId="12" fillId="0" borderId="9" xfId="8" quotePrefix="1" applyFont="1" applyFill="1" applyBorder="1" applyAlignment="1">
      <alignment vertical="center"/>
    </xf>
    <xf numFmtId="2" fontId="29" fillId="0" borderId="9" xfId="0" quotePrefix="1" applyNumberFormat="1" applyFont="1" applyFill="1" applyBorder="1" applyAlignment="1">
      <alignment vertical="center" wrapText="1"/>
    </xf>
    <xf numFmtId="164" fontId="29" fillId="0" borderId="9" xfId="8" quotePrefix="1" applyFont="1" applyFill="1" applyBorder="1" applyAlignment="1">
      <alignment vertical="center" wrapText="1"/>
    </xf>
    <xf numFmtId="164" fontId="29" fillId="0" borderId="14" xfId="8" applyFont="1" applyFill="1" applyBorder="1" applyAlignment="1">
      <alignment vertical="center"/>
    </xf>
    <xf numFmtId="164" fontId="12" fillId="0" borderId="14" xfId="3" applyFont="1" applyFill="1" applyBorder="1" applyAlignment="1">
      <alignment vertical="center"/>
    </xf>
    <xf numFmtId="0" fontId="12" fillId="0" borderId="9" xfId="0" applyFont="1" applyFill="1" applyBorder="1"/>
    <xf numFmtId="164" fontId="12" fillId="0" borderId="9" xfId="8" applyFont="1" applyFill="1" applyBorder="1"/>
    <xf numFmtId="164" fontId="12" fillId="0" borderId="14" xfId="8" applyFont="1" applyFill="1" applyBorder="1"/>
    <xf numFmtId="0" fontId="7" fillId="2" borderId="9" xfId="2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6" fillId="0" borderId="9" xfId="5" applyFont="1" applyBorder="1" applyAlignment="1">
      <alignment horizontal="center" vertical="center" wrapText="1"/>
    </xf>
    <xf numFmtId="0" fontId="7" fillId="0" borderId="9" xfId="17" applyFont="1" applyBorder="1" applyAlignment="1">
      <alignment horizontal="center" vertical="center"/>
    </xf>
    <xf numFmtId="0" fontId="18" fillId="0" borderId="9" xfId="17" applyFont="1" applyBorder="1" applyAlignment="1">
      <alignment horizontal="center" vertical="center"/>
    </xf>
    <xf numFmtId="0" fontId="17" fillId="0" borderId="9" xfId="5" applyFont="1" applyBorder="1" applyAlignment="1">
      <alignment horizontal="center" vertical="center" wrapText="1"/>
    </xf>
    <xf numFmtId="0" fontId="32" fillId="0" borderId="9" xfId="15" applyFont="1" applyFill="1" applyBorder="1" applyAlignment="1">
      <alignment horizontal="center"/>
    </xf>
    <xf numFmtId="0" fontId="32" fillId="0" borderId="30" xfId="0" applyFont="1" applyBorder="1" applyAlignment="1">
      <alignment horizontal="center"/>
    </xf>
    <xf numFmtId="0" fontId="32" fillId="0" borderId="31" xfId="0" applyFont="1" applyBorder="1" applyAlignment="1">
      <alignment horizontal="center"/>
    </xf>
    <xf numFmtId="0" fontId="6" fillId="2" borderId="26" xfId="0" applyFont="1" applyFill="1" applyBorder="1" applyAlignment="1">
      <alignment horizontal="center" vertical="center"/>
    </xf>
    <xf numFmtId="0" fontId="7" fillId="2" borderId="19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49" fontId="7" fillId="2" borderId="19" xfId="4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/>
    </xf>
    <xf numFmtId="49" fontId="6" fillId="2" borderId="19" xfId="4" applyNumberFormat="1" applyFont="1" applyFill="1" applyBorder="1" applyAlignment="1">
      <alignment horizontal="center" vertical="center" wrapText="1"/>
    </xf>
    <xf numFmtId="49" fontId="17" fillId="2" borderId="19" xfId="4" applyNumberFormat="1" applyFont="1" applyFill="1" applyBorder="1" applyAlignment="1">
      <alignment horizontal="center" vertical="center" wrapText="1"/>
    </xf>
    <xf numFmtId="2" fontId="17" fillId="2" borderId="11" xfId="0" applyNumberFormat="1" applyFont="1" applyFill="1" applyBorder="1" applyAlignment="1">
      <alignment horizontal="center" vertical="center"/>
    </xf>
    <xf numFmtId="49" fontId="6" fillId="0" borderId="19" xfId="4" applyNumberFormat="1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/>
    </xf>
    <xf numFmtId="49" fontId="7" fillId="2" borderId="6" xfId="4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6" xfId="0" applyFill="1" applyBorder="1"/>
    <xf numFmtId="0" fontId="0" fillId="2" borderId="1" xfId="0" applyFill="1" applyBorder="1" applyAlignment="1">
      <alignment horizontal="center"/>
    </xf>
    <xf numFmtId="0" fontId="0" fillId="2" borderId="8" xfId="0" applyFill="1" applyBorder="1"/>
    <xf numFmtId="0" fontId="12" fillId="2" borderId="3" xfId="0" applyFont="1" applyFill="1" applyBorder="1" applyAlignment="1">
      <alignment horizontal="center"/>
    </xf>
    <xf numFmtId="0" fontId="12" fillId="2" borderId="3" xfId="0" applyFont="1" applyFill="1" applyBorder="1"/>
    <xf numFmtId="0" fontId="1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7" fillId="0" borderId="19" xfId="17" applyFont="1" applyFill="1" applyBorder="1" applyAlignment="1">
      <alignment horizontal="center"/>
    </xf>
    <xf numFmtId="0" fontId="7" fillId="0" borderId="11" xfId="17" applyFont="1" applyBorder="1" applyAlignment="1">
      <alignment horizontal="center" vertical="center"/>
    </xf>
    <xf numFmtId="0" fontId="7" fillId="0" borderId="11" xfId="17" applyFont="1" applyFill="1" applyBorder="1" applyAlignment="1">
      <alignment horizontal="center" vertical="center"/>
    </xf>
    <xf numFmtId="4" fontId="6" fillId="0" borderId="11" xfId="4" applyNumberFormat="1" applyFont="1" applyFill="1" applyBorder="1" applyAlignment="1">
      <alignment horizontal="center" vertical="center"/>
    </xf>
    <xf numFmtId="4" fontId="6" fillId="2" borderId="11" xfId="4" applyNumberFormat="1" applyFont="1" applyFill="1" applyBorder="1" applyAlignment="1">
      <alignment horizontal="center" vertical="center"/>
    </xf>
    <xf numFmtId="0" fontId="18" fillId="0" borderId="11" xfId="17" applyFont="1" applyBorder="1" applyAlignment="1">
      <alignment horizontal="center" vertical="center"/>
    </xf>
    <xf numFmtId="4" fontId="17" fillId="2" borderId="11" xfId="4" applyNumberFormat="1" applyFont="1" applyFill="1" applyBorder="1" applyAlignment="1">
      <alignment horizontal="center" vertical="center"/>
    </xf>
    <xf numFmtId="0" fontId="3" fillId="2" borderId="6" xfId="17" applyFill="1" applyBorder="1"/>
    <xf numFmtId="0" fontId="3" fillId="2" borderId="0" xfId="17" applyFill="1" applyBorder="1"/>
    <xf numFmtId="0" fontId="3" fillId="2" borderId="1" xfId="17" applyFill="1" applyBorder="1"/>
    <xf numFmtId="0" fontId="3" fillId="2" borderId="8" xfId="17" applyFill="1" applyBorder="1"/>
    <xf numFmtId="0" fontId="3" fillId="2" borderId="3" xfId="17" applyFill="1" applyBorder="1"/>
    <xf numFmtId="0" fontId="3" fillId="2" borderId="3" xfId="17" applyFill="1" applyBorder="1" applyAlignment="1">
      <alignment wrapText="1"/>
    </xf>
    <xf numFmtId="0" fontId="3" fillId="2" borderId="4" xfId="17" applyFill="1" applyBorder="1"/>
    <xf numFmtId="2" fontId="32" fillId="0" borderId="9" xfId="15" applyNumberFormat="1" applyFont="1" applyFill="1" applyBorder="1" applyAlignment="1">
      <alignment horizontal="center"/>
    </xf>
    <xf numFmtId="2" fontId="1" fillId="0" borderId="9" xfId="15" applyNumberFormat="1" applyFont="1" applyFill="1" applyBorder="1" applyAlignment="1">
      <alignment horizontal="center"/>
    </xf>
    <xf numFmtId="2" fontId="32" fillId="0" borderId="14" xfId="15" applyNumberFormat="1" applyFont="1" applyFill="1" applyBorder="1" applyAlignment="1">
      <alignment horizontal="center"/>
    </xf>
    <xf numFmtId="0" fontId="32" fillId="0" borderId="9" xfId="15" applyFont="1" applyFill="1" applyBorder="1" applyAlignment="1">
      <alignment horizontal="center" vertical="center"/>
    </xf>
    <xf numFmtId="0" fontId="32" fillId="0" borderId="9" xfId="15" applyFont="1" applyFill="1" applyBorder="1" applyAlignment="1">
      <alignment horizontal="center" vertical="center" wrapText="1"/>
    </xf>
    <xf numFmtId="0" fontId="32" fillId="0" borderId="9" xfId="15" quotePrefix="1" applyFont="1" applyFill="1" applyBorder="1" applyAlignment="1">
      <alignment horizontal="center"/>
    </xf>
    <xf numFmtId="2" fontId="32" fillId="0" borderId="9" xfId="15" applyNumberFormat="1" applyFont="1" applyFill="1" applyBorder="1" applyAlignment="1">
      <alignment horizontal="center" vertical="center"/>
    </xf>
    <xf numFmtId="0" fontId="32" fillId="0" borderId="14" xfId="15" applyFont="1" applyFill="1" applyBorder="1" applyAlignment="1">
      <alignment horizontal="center"/>
    </xf>
    <xf numFmtId="0" fontId="32" fillId="0" borderId="15" xfId="15" applyFont="1" applyFill="1" applyBorder="1" applyAlignment="1">
      <alignment horizontal="center"/>
    </xf>
    <xf numFmtId="0" fontId="32" fillId="0" borderId="10" xfId="15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2" fontId="1" fillId="0" borderId="9" xfId="16" applyNumberFormat="1" applyFont="1" applyFill="1" applyBorder="1" applyAlignment="1">
      <alignment horizontal="center"/>
    </xf>
    <xf numFmtId="0" fontId="17" fillId="0" borderId="0" xfId="0" applyFont="1" applyFill="1"/>
    <xf numFmtId="0" fontId="1" fillId="0" borderId="9" xfId="15" applyFont="1" applyFill="1" applyBorder="1" applyAlignment="1">
      <alignment horizontal="center"/>
    </xf>
    <xf numFmtId="0" fontId="17" fillId="0" borderId="9" xfId="16" applyNumberFormat="1" applyFont="1" applyFill="1" applyBorder="1" applyAlignment="1">
      <alignment horizontal="center"/>
    </xf>
    <xf numFmtId="2" fontId="17" fillId="0" borderId="9" xfId="16" applyNumberFormat="1" applyFont="1" applyFill="1" applyBorder="1" applyAlignment="1">
      <alignment horizontal="center"/>
    </xf>
    <xf numFmtId="0" fontId="1" fillId="0" borderId="0" xfId="15" applyFont="1" applyFill="1" applyAlignment="1"/>
    <xf numFmtId="0" fontId="1" fillId="0" borderId="0" xfId="15" applyFont="1" applyFill="1" applyAlignment="1">
      <alignment horizontal="center"/>
    </xf>
    <xf numFmtId="0" fontId="1" fillId="0" borderId="0" xfId="15" applyFont="1" applyFill="1"/>
    <xf numFmtId="0" fontId="17" fillId="0" borderId="9" xfId="0" applyFont="1" applyFill="1" applyBorder="1"/>
    <xf numFmtId="0" fontId="33" fillId="2" borderId="6" xfId="0" applyFont="1" applyFill="1" applyBorder="1" applyAlignment="1">
      <alignment horizontal="left"/>
    </xf>
    <xf numFmtId="0" fontId="33" fillId="2" borderId="0" xfId="0" applyFont="1" applyFill="1" applyBorder="1" applyAlignment="1">
      <alignment horizontal="left"/>
    </xf>
    <xf numFmtId="0" fontId="33" fillId="2" borderId="1" xfId="0" applyFont="1" applyFill="1" applyBorder="1" applyAlignment="1">
      <alignment horizontal="left"/>
    </xf>
    <xf numFmtId="17" fontId="13" fillId="2" borderId="0" xfId="0" applyNumberFormat="1" applyFont="1" applyFill="1" applyBorder="1" applyAlignment="1">
      <alignment horizontal="left" wrapText="1"/>
    </xf>
    <xf numFmtId="166" fontId="13" fillId="2" borderId="0" xfId="0" applyNumberFormat="1" applyFont="1" applyFill="1" applyBorder="1" applyAlignment="1">
      <alignment horizontal="left" vertical="center" wrapText="1"/>
    </xf>
    <xf numFmtId="17" fontId="13" fillId="2" borderId="3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2" borderId="6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166" fontId="14" fillId="2" borderId="22" xfId="0" applyNumberFormat="1" applyFont="1" applyFill="1" applyBorder="1" applyAlignment="1">
      <alignment horizontal="center" vertical="center"/>
    </xf>
    <xf numFmtId="166" fontId="14" fillId="2" borderId="19" xfId="0" applyNumberFormat="1" applyFont="1" applyFill="1" applyBorder="1" applyAlignment="1">
      <alignment horizontal="center" vertical="center"/>
    </xf>
    <xf numFmtId="166" fontId="14" fillId="2" borderId="18" xfId="0" applyNumberFormat="1" applyFont="1" applyFill="1" applyBorder="1" applyAlignment="1">
      <alignment horizontal="center" vertical="center"/>
    </xf>
    <xf numFmtId="166" fontId="14" fillId="2" borderId="9" xfId="0" applyNumberFormat="1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7" fillId="2" borderId="24" xfId="2" applyFont="1" applyFill="1" applyBorder="1" applyAlignment="1">
      <alignment horizontal="center" vertical="center"/>
    </xf>
    <xf numFmtId="0" fontId="7" fillId="2" borderId="25" xfId="2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32" fillId="0" borderId="9" xfId="15" applyFont="1" applyBorder="1" applyAlignment="1">
      <alignment horizontal="center"/>
    </xf>
    <xf numFmtId="0" fontId="4" fillId="0" borderId="9" xfId="15" applyBorder="1" applyAlignment="1">
      <alignment horizontal="center"/>
    </xf>
    <xf numFmtId="0" fontId="7" fillId="0" borderId="9" xfId="17" applyFont="1" applyBorder="1" applyAlignment="1">
      <alignment horizontal="center" vertical="center"/>
    </xf>
    <xf numFmtId="0" fontId="7" fillId="0" borderId="11" xfId="17" applyFont="1" applyBorder="1" applyAlignment="1">
      <alignment horizontal="center" vertical="center"/>
    </xf>
    <xf numFmtId="0" fontId="17" fillId="0" borderId="19" xfId="17" applyNumberFormat="1" applyFont="1" applyFill="1" applyBorder="1" applyAlignment="1">
      <alignment horizontal="center" vertical="center" wrapText="1" shrinkToFit="1"/>
    </xf>
    <xf numFmtId="0" fontId="17" fillId="0" borderId="9" xfId="17" applyNumberFormat="1" applyFont="1" applyFill="1" applyBorder="1" applyAlignment="1" applyProtection="1">
      <alignment horizontal="center" vertical="center" wrapText="1"/>
      <protection locked="0"/>
    </xf>
    <xf numFmtId="0" fontId="17" fillId="0" borderId="9" xfId="17" applyNumberFormat="1" applyFont="1" applyFill="1" applyBorder="1" applyAlignment="1">
      <alignment horizontal="center" vertical="center" wrapText="1" shrinkToFit="1"/>
    </xf>
    <xf numFmtId="0" fontId="17" fillId="0" borderId="11" xfId="17" applyNumberFormat="1" applyFont="1" applyFill="1" applyBorder="1" applyAlignment="1">
      <alignment horizontal="center" vertical="center" wrapText="1" shrinkToFit="1"/>
    </xf>
    <xf numFmtId="0" fontId="18" fillId="0" borderId="9" xfId="17" applyFont="1" applyBorder="1" applyAlignment="1">
      <alignment horizontal="center" vertical="center"/>
    </xf>
    <xf numFmtId="0" fontId="18" fillId="0" borderId="11" xfId="17" applyFont="1" applyBorder="1" applyAlignment="1">
      <alignment horizontal="center" vertical="center"/>
    </xf>
    <xf numFmtId="0" fontId="30" fillId="3" borderId="9" xfId="17" applyFont="1" applyFill="1" applyBorder="1" applyAlignment="1">
      <alignment horizontal="center" vertical="center"/>
    </xf>
    <xf numFmtId="2" fontId="29" fillId="2" borderId="9" xfId="17" quotePrefix="1" applyNumberFormat="1" applyFont="1" applyFill="1" applyBorder="1" applyAlignment="1">
      <alignment horizontal="center" vertical="center" wrapText="1"/>
    </xf>
    <xf numFmtId="0" fontId="17" fillId="0" borderId="16" xfId="5" applyFont="1" applyBorder="1" applyAlignment="1">
      <alignment horizontal="center" vertical="center"/>
    </xf>
    <xf numFmtId="0" fontId="17" fillId="0" borderId="43" xfId="5" applyFont="1" applyBorder="1" applyAlignment="1">
      <alignment horizontal="center" vertical="center"/>
    </xf>
    <xf numFmtId="0" fontId="17" fillId="0" borderId="18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 wrapText="1"/>
    </xf>
    <xf numFmtId="0" fontId="17" fillId="0" borderId="43" xfId="5" applyFont="1" applyBorder="1" applyAlignment="1">
      <alignment horizontal="center" vertical="center" wrapText="1"/>
    </xf>
    <xf numFmtId="0" fontId="17" fillId="0" borderId="9" xfId="5" applyFont="1" applyBorder="1" applyAlignment="1">
      <alignment horizontal="center" vertical="center" wrapText="1"/>
    </xf>
    <xf numFmtId="0" fontId="17" fillId="0" borderId="18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43" xfId="5" applyFont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0" fontId="13" fillId="3" borderId="9" xfId="17" applyFont="1" applyFill="1" applyBorder="1" applyAlignment="1">
      <alignment horizontal="center" vertical="center"/>
    </xf>
    <xf numFmtId="0" fontId="37" fillId="0" borderId="44" xfId="17" applyFont="1" applyBorder="1" applyAlignment="1">
      <alignment horizontal="center"/>
    </xf>
    <xf numFmtId="0" fontId="37" fillId="0" borderId="45" xfId="17" applyFont="1" applyBorder="1" applyAlignment="1">
      <alignment horizontal="center"/>
    </xf>
    <xf numFmtId="0" fontId="37" fillId="0" borderId="46" xfId="17" applyFont="1" applyBorder="1" applyAlignment="1">
      <alignment horizontal="center"/>
    </xf>
    <xf numFmtId="0" fontId="6" fillId="0" borderId="9" xfId="5" applyFont="1" applyBorder="1" applyAlignment="1">
      <alignment horizontal="center" vertical="center" wrapText="1"/>
    </xf>
    <xf numFmtId="0" fontId="17" fillId="0" borderId="42" xfId="17" applyNumberFormat="1" applyFont="1" applyFill="1" applyBorder="1" applyAlignment="1">
      <alignment horizontal="center" vertical="center" wrapText="1" shrinkToFit="1"/>
    </xf>
    <xf numFmtId="0" fontId="17" fillId="0" borderId="47" xfId="17" applyNumberFormat="1" applyFont="1" applyFill="1" applyBorder="1" applyAlignment="1">
      <alignment horizontal="center" vertical="center" wrapText="1" shrinkToFit="1"/>
    </xf>
    <xf numFmtId="0" fontId="17" fillId="0" borderId="22" xfId="17" applyNumberFormat="1" applyFont="1" applyFill="1" applyBorder="1" applyAlignment="1">
      <alignment horizontal="center" vertical="center" wrapText="1" shrinkToFit="1"/>
    </xf>
    <xf numFmtId="0" fontId="17" fillId="0" borderId="16" xfId="17" applyNumberFormat="1" applyFont="1" applyFill="1" applyBorder="1" applyAlignment="1" applyProtection="1">
      <alignment horizontal="center" vertical="center" wrapText="1"/>
      <protection locked="0"/>
    </xf>
    <xf numFmtId="0" fontId="17" fillId="0" borderId="43" xfId="17" applyNumberFormat="1" applyFont="1" applyFill="1" applyBorder="1" applyAlignment="1" applyProtection="1">
      <alignment horizontal="center" vertical="center" wrapText="1"/>
      <protection locked="0"/>
    </xf>
    <xf numFmtId="0" fontId="17" fillId="0" borderId="18" xfId="17" applyNumberFormat="1" applyFont="1" applyFill="1" applyBorder="1" applyAlignment="1" applyProtection="1">
      <alignment horizontal="center" vertical="center" wrapText="1"/>
      <protection locked="0"/>
    </xf>
    <xf numFmtId="0" fontId="13" fillId="3" borderId="16" xfId="17" applyFont="1" applyFill="1" applyBorder="1" applyAlignment="1">
      <alignment horizontal="center" vertical="center"/>
    </xf>
    <xf numFmtId="0" fontId="13" fillId="3" borderId="43" xfId="17" applyFont="1" applyFill="1" applyBorder="1" applyAlignment="1">
      <alignment horizontal="center" vertical="center"/>
    </xf>
    <xf numFmtId="0" fontId="13" fillId="3" borderId="18" xfId="17" applyFont="1" applyFill="1" applyBorder="1" applyAlignment="1">
      <alignment horizontal="center" vertical="center"/>
    </xf>
    <xf numFmtId="2" fontId="12" fillId="2" borderId="9" xfId="17" quotePrefix="1" applyNumberFormat="1" applyFont="1" applyFill="1" applyBorder="1" applyAlignment="1">
      <alignment horizontal="center" vertical="center" wrapText="1"/>
    </xf>
    <xf numFmtId="0" fontId="17" fillId="0" borderId="6" xfId="17" applyNumberFormat="1" applyFont="1" applyFill="1" applyBorder="1" applyAlignment="1">
      <alignment horizontal="center" vertical="center" wrapText="1" shrinkToFit="1"/>
    </xf>
    <xf numFmtId="0" fontId="17" fillId="0" borderId="0" xfId="17" applyNumberFormat="1" applyFont="1" applyFill="1" applyBorder="1" applyAlignment="1">
      <alignment horizontal="center" vertical="center" wrapText="1" shrinkToFit="1"/>
    </xf>
    <xf numFmtId="0" fontId="17" fillId="0" borderId="1" xfId="17" applyNumberFormat="1" applyFont="1" applyFill="1" applyBorder="1" applyAlignment="1">
      <alignment horizontal="center" vertical="center" wrapText="1" shrinkToFit="1"/>
    </xf>
    <xf numFmtId="2" fontId="12" fillId="2" borderId="16" xfId="17" quotePrefix="1" applyNumberFormat="1" applyFont="1" applyFill="1" applyBorder="1" applyAlignment="1">
      <alignment horizontal="center" vertical="center" wrapText="1"/>
    </xf>
    <xf numFmtId="2" fontId="12" fillId="2" borderId="43" xfId="17" quotePrefix="1" applyNumberFormat="1" applyFont="1" applyFill="1" applyBorder="1" applyAlignment="1">
      <alignment horizontal="center" vertical="center" wrapText="1"/>
    </xf>
    <xf numFmtId="2" fontId="12" fillId="2" borderId="18" xfId="17" quotePrefix="1" applyNumberFormat="1" applyFont="1" applyFill="1" applyBorder="1" applyAlignment="1">
      <alignment horizontal="center" vertical="center" wrapText="1"/>
    </xf>
    <xf numFmtId="0" fontId="32" fillId="0" borderId="14" xfId="15" applyFont="1" applyFill="1" applyBorder="1" applyAlignment="1">
      <alignment horizontal="center"/>
    </xf>
    <xf numFmtId="0" fontId="32" fillId="0" borderId="15" xfId="15" applyFont="1" applyFill="1" applyBorder="1" applyAlignment="1">
      <alignment horizontal="center"/>
    </xf>
    <xf numFmtId="0" fontId="32" fillId="0" borderId="10" xfId="15" applyFont="1" applyFill="1" applyBorder="1" applyAlignment="1">
      <alignment horizontal="center"/>
    </xf>
    <xf numFmtId="2" fontId="32" fillId="10" borderId="9" xfId="0" applyNumberFormat="1" applyFont="1" applyFill="1" applyBorder="1" applyAlignment="1">
      <alignment horizontal="center"/>
    </xf>
    <xf numFmtId="0" fontId="32" fillId="10" borderId="9" xfId="0" applyFont="1" applyFill="1" applyBorder="1" applyAlignment="1">
      <alignment horizontal="center"/>
    </xf>
    <xf numFmtId="2" fontId="32" fillId="7" borderId="9" xfId="0" applyNumberFormat="1" applyFont="1" applyFill="1" applyBorder="1" applyAlignment="1">
      <alignment horizontal="center"/>
    </xf>
    <xf numFmtId="0" fontId="32" fillId="7" borderId="9" xfId="0" applyFont="1" applyFill="1" applyBorder="1" applyAlignment="1">
      <alignment horizontal="center"/>
    </xf>
    <xf numFmtId="0" fontId="32" fillId="6" borderId="9" xfId="0" applyFont="1" applyFill="1" applyBorder="1" applyAlignment="1">
      <alignment horizontal="center"/>
    </xf>
    <xf numFmtId="2" fontId="32" fillId="6" borderId="9" xfId="0" applyNumberFormat="1" applyFont="1" applyFill="1" applyBorder="1" applyAlignment="1">
      <alignment horizontal="center"/>
    </xf>
    <xf numFmtId="0" fontId="32" fillId="10" borderId="14" xfId="15" applyFont="1" applyFill="1" applyBorder="1" applyAlignment="1">
      <alignment horizontal="center"/>
    </xf>
    <xf numFmtId="0" fontId="32" fillId="10" borderId="15" xfId="15" applyFont="1" applyFill="1" applyBorder="1" applyAlignment="1">
      <alignment horizontal="center"/>
    </xf>
    <xf numFmtId="0" fontId="32" fillId="10" borderId="10" xfId="15" applyFont="1" applyFill="1" applyBorder="1" applyAlignment="1">
      <alignment horizontal="center"/>
    </xf>
    <xf numFmtId="0" fontId="32" fillId="10" borderId="9" xfId="15" applyFont="1" applyFill="1" applyBorder="1" applyAlignment="1">
      <alignment horizontal="center"/>
    </xf>
    <xf numFmtId="0" fontId="32" fillId="8" borderId="9" xfId="0" applyFont="1" applyFill="1" applyBorder="1" applyAlignment="1">
      <alignment horizontal="center"/>
    </xf>
    <xf numFmtId="2" fontId="32" fillId="8" borderId="9" xfId="0" applyNumberFormat="1" applyFont="1" applyFill="1" applyBorder="1" applyAlignment="1">
      <alignment horizontal="center"/>
    </xf>
    <xf numFmtId="0" fontId="32" fillId="0" borderId="14" xfId="15" applyFont="1" applyFill="1" applyBorder="1" applyAlignment="1">
      <alignment horizontal="center" vertical="center"/>
    </xf>
    <xf numFmtId="0" fontId="32" fillId="0" borderId="15" xfId="15" applyFont="1" applyFill="1" applyBorder="1" applyAlignment="1">
      <alignment horizontal="center" vertical="center"/>
    </xf>
    <xf numFmtId="0" fontId="32" fillId="0" borderId="10" xfId="15" applyFont="1" applyFill="1" applyBorder="1" applyAlignment="1">
      <alignment horizontal="center" vertical="center"/>
    </xf>
    <xf numFmtId="0" fontId="32" fillId="13" borderId="9" xfId="0" applyFont="1" applyFill="1" applyBorder="1" applyAlignment="1">
      <alignment horizontal="center"/>
    </xf>
    <xf numFmtId="2" fontId="32" fillId="13" borderId="9" xfId="0" applyNumberFormat="1" applyFont="1" applyFill="1" applyBorder="1" applyAlignment="1">
      <alignment horizontal="center"/>
    </xf>
    <xf numFmtId="0" fontId="32" fillId="7" borderId="14" xfId="15" applyFont="1" applyFill="1" applyBorder="1" applyAlignment="1">
      <alignment horizontal="center"/>
    </xf>
    <xf numFmtId="0" fontId="32" fillId="7" borderId="15" xfId="15" applyFont="1" applyFill="1" applyBorder="1" applyAlignment="1">
      <alignment horizontal="center"/>
    </xf>
    <xf numFmtId="0" fontId="32" fillId="7" borderId="10" xfId="15" applyFont="1" applyFill="1" applyBorder="1" applyAlignment="1">
      <alignment horizontal="center"/>
    </xf>
    <xf numFmtId="0" fontId="32" fillId="6" borderId="14" xfId="15" applyFont="1" applyFill="1" applyBorder="1" applyAlignment="1">
      <alignment horizontal="center"/>
    </xf>
    <xf numFmtId="0" fontId="32" fillId="6" borderId="15" xfId="15" applyFont="1" applyFill="1" applyBorder="1" applyAlignment="1">
      <alignment horizontal="center"/>
    </xf>
    <xf numFmtId="0" fontId="32" fillId="6" borderId="10" xfId="15" applyFont="1" applyFill="1" applyBorder="1" applyAlignment="1">
      <alignment horizontal="center"/>
    </xf>
    <xf numFmtId="0" fontId="32" fillId="12" borderId="9" xfId="15" applyFont="1" applyFill="1" applyBorder="1" applyAlignment="1">
      <alignment horizontal="center"/>
    </xf>
    <xf numFmtId="0" fontId="32" fillId="12" borderId="9" xfId="0" applyFont="1" applyFill="1" applyBorder="1" applyAlignment="1">
      <alignment horizontal="center"/>
    </xf>
    <xf numFmtId="0" fontId="32" fillId="11" borderId="9" xfId="15" applyFont="1" applyFill="1" applyBorder="1" applyAlignment="1">
      <alignment horizontal="center"/>
    </xf>
    <xf numFmtId="2" fontId="32" fillId="11" borderId="9" xfId="0" applyNumberFormat="1" applyFont="1" applyFill="1" applyBorder="1" applyAlignment="1">
      <alignment horizontal="center"/>
    </xf>
    <xf numFmtId="0" fontId="32" fillId="11" borderId="9" xfId="0" applyFont="1" applyFill="1" applyBorder="1" applyAlignment="1">
      <alignment horizontal="center"/>
    </xf>
    <xf numFmtId="0" fontId="32" fillId="12" borderId="14" xfId="15" applyFont="1" applyFill="1" applyBorder="1" applyAlignment="1">
      <alignment horizontal="center"/>
    </xf>
    <xf numFmtId="0" fontId="32" fillId="12" borderId="15" xfId="15" applyFont="1" applyFill="1" applyBorder="1" applyAlignment="1">
      <alignment horizontal="center"/>
    </xf>
    <xf numFmtId="0" fontId="32" fillId="12" borderId="10" xfId="15" applyFont="1" applyFill="1" applyBorder="1" applyAlignment="1">
      <alignment horizontal="center"/>
    </xf>
    <xf numFmtId="2" fontId="32" fillId="12" borderId="9" xfId="0" applyNumberFormat="1" applyFont="1" applyFill="1" applyBorder="1" applyAlignment="1">
      <alignment horizontal="center"/>
    </xf>
    <xf numFmtId="0" fontId="32" fillId="8" borderId="14" xfId="15" applyFont="1" applyFill="1" applyBorder="1" applyAlignment="1">
      <alignment horizontal="center"/>
    </xf>
    <xf numFmtId="0" fontId="32" fillId="8" borderId="15" xfId="15" applyFont="1" applyFill="1" applyBorder="1" applyAlignment="1">
      <alignment horizontal="center"/>
    </xf>
    <xf numFmtId="0" fontId="32" fillId="8" borderId="10" xfId="15" applyFont="1" applyFill="1" applyBorder="1" applyAlignment="1">
      <alignment horizontal="center"/>
    </xf>
    <xf numFmtId="0" fontId="32" fillId="13" borderId="9" xfId="15" applyFont="1" applyFill="1" applyBorder="1" applyAlignment="1">
      <alignment horizontal="center"/>
    </xf>
    <xf numFmtId="0" fontId="32" fillId="13" borderId="14" xfId="15" applyFont="1" applyFill="1" applyBorder="1" applyAlignment="1">
      <alignment horizontal="center"/>
    </xf>
    <xf numFmtId="0" fontId="32" fillId="13" borderId="15" xfId="15" applyFont="1" applyFill="1" applyBorder="1" applyAlignment="1">
      <alignment horizontal="center"/>
    </xf>
    <xf numFmtId="0" fontId="32" fillId="13" borderId="10" xfId="15" applyFont="1" applyFill="1" applyBorder="1" applyAlignment="1">
      <alignment horizontal="center"/>
    </xf>
    <xf numFmtId="0" fontId="32" fillId="0" borderId="33" xfId="0" applyFont="1" applyBorder="1" applyAlignment="1">
      <alignment horizontal="center"/>
    </xf>
    <xf numFmtId="0" fontId="32" fillId="0" borderId="36" xfId="0" applyFont="1" applyBorder="1" applyAlignment="1">
      <alignment horizontal="center"/>
    </xf>
    <xf numFmtId="0" fontId="32" fillId="0" borderId="30" xfId="0" applyFont="1" applyBorder="1" applyAlignment="1">
      <alignment horizontal="center"/>
    </xf>
    <xf numFmtId="0" fontId="32" fillId="0" borderId="31" xfId="0" applyFont="1" applyBorder="1" applyAlignment="1">
      <alignment horizontal="center"/>
    </xf>
    <xf numFmtId="0" fontId="32" fillId="0" borderId="32" xfId="0" applyFont="1" applyBorder="1" applyAlignment="1">
      <alignment horizontal="center"/>
    </xf>
    <xf numFmtId="0" fontId="32" fillId="6" borderId="22" xfId="0" applyFont="1" applyFill="1" applyBorder="1" applyAlignment="1">
      <alignment horizontal="center" vertical="center"/>
    </xf>
    <xf numFmtId="0" fontId="32" fillId="6" borderId="19" xfId="0" applyFont="1" applyFill="1" applyBorder="1" applyAlignment="1">
      <alignment horizontal="center" vertical="center"/>
    </xf>
    <xf numFmtId="0" fontId="32" fillId="6" borderId="20" xfId="0" applyFont="1" applyFill="1" applyBorder="1" applyAlignment="1">
      <alignment horizontal="center" vertical="center"/>
    </xf>
    <xf numFmtId="0" fontId="32" fillId="8" borderId="24" xfId="0" applyFont="1" applyFill="1" applyBorder="1" applyAlignment="1">
      <alignment horizontal="center" vertical="center" wrapText="1"/>
    </xf>
    <xf numFmtId="0" fontId="32" fillId="8" borderId="19" xfId="0" applyFont="1" applyFill="1" applyBorder="1" applyAlignment="1">
      <alignment horizontal="center" vertical="center" wrapText="1"/>
    </xf>
    <xf numFmtId="0" fontId="32" fillId="8" borderId="20" xfId="0" applyFont="1" applyFill="1" applyBorder="1" applyAlignment="1">
      <alignment horizontal="center" vertical="center" wrapText="1"/>
    </xf>
    <xf numFmtId="0" fontId="32" fillId="7" borderId="48" xfId="0" applyFont="1" applyFill="1" applyBorder="1" applyAlignment="1">
      <alignment horizontal="center" vertical="center"/>
    </xf>
    <xf numFmtId="0" fontId="32" fillId="7" borderId="47" xfId="0" applyFont="1" applyFill="1" applyBorder="1" applyAlignment="1">
      <alignment horizontal="center" vertical="center"/>
    </xf>
    <xf numFmtId="0" fontId="32" fillId="7" borderId="39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28" xfId="0" applyFont="1" applyBorder="1" applyAlignment="1">
      <alignment horizontal="center"/>
    </xf>
  </cellXfs>
  <cellStyles count="20">
    <cellStyle name="Moeda" xfId="8" builtinId="4"/>
    <cellStyle name="Moeda 2" xfId="3"/>
    <cellStyle name="Moeda 3" xfId="9"/>
    <cellStyle name="Normal" xfId="0" builtinId="0"/>
    <cellStyle name="Normal 2" xfId="2"/>
    <cellStyle name="Normal 2 2" xfId="13"/>
    <cellStyle name="Normal 3" xfId="6"/>
    <cellStyle name="Normal 4" xfId="12"/>
    <cellStyle name="Normal 5" xfId="15"/>
    <cellStyle name="Normal 5 2" xfId="18"/>
    <cellStyle name="Normal 6" xfId="17"/>
    <cellStyle name="Normal_BLOCO10" xfId="4"/>
    <cellStyle name="Normal_Global 2" xfId="5"/>
    <cellStyle name="Normal_Plan1" xfId="11"/>
    <cellStyle name="Porcentagem 2" xfId="10"/>
    <cellStyle name="Vírgula" xfId="1" builtinId="3"/>
    <cellStyle name="Vírgula 2" xfId="7"/>
    <cellStyle name="Vírgula 2 2" xfId="14"/>
    <cellStyle name="Vírgula 3" xfId="16"/>
    <cellStyle name="Vírgula 4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66261</xdr:colOff>
      <xdr:row>1</xdr:row>
      <xdr:rowOff>24849</xdr:rowOff>
    </xdr:from>
    <xdr:to>
      <xdr:col>1</xdr:col>
      <xdr:colOff>339587</xdr:colOff>
      <xdr:row>2</xdr:row>
      <xdr:rowOff>405849</xdr:rowOff>
    </xdr:to>
    <xdr:pic>
      <xdr:nvPicPr>
        <xdr:cNvPr id="2" name="Imagem 1" descr="brasao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61" y="215349"/>
          <a:ext cx="720587" cy="546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26</xdr:row>
      <xdr:rowOff>14734</xdr:rowOff>
    </xdr:from>
    <xdr:to>
      <xdr:col>3</xdr:col>
      <xdr:colOff>0</xdr:colOff>
      <xdr:row>28</xdr:row>
      <xdr:rowOff>307900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86DA5EC-1296-408F-A7D6-4ECB137F4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5301109"/>
          <a:ext cx="3686175" cy="6551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_engenharia\rede%20engenharia%20-01-12-20\Users\Engenharia%20-%2002\Desktop\PLANILHA%20OR&#199;AMENTARIA%20-%20COMPLEXO%20ESPORTIVO%20(FIN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ORÇAMENTARIA - COMPLEX"/>
    </sheetNames>
    <sheetDataSet>
      <sheetData sheetId="0"/>
      <sheetData sheetId="1">
        <row r="18">
          <cell r="F18" t="str">
            <v>NÃO 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L312"/>
  <sheetViews>
    <sheetView showGridLines="0" showZeros="0" tabSelected="1" view="pageBreakPreview" topLeftCell="A97" zoomScale="90" zoomScaleNormal="100" zoomScaleSheetLayoutView="90" zoomScalePageLayoutView="80" workbookViewId="0">
      <selection activeCell="B109" sqref="B109"/>
    </sheetView>
  </sheetViews>
  <sheetFormatPr defaultColWidth="11.42578125" defaultRowHeight="14.25"/>
  <cols>
    <col min="1" max="1" width="6.7109375" style="81" bestFit="1" customWidth="1"/>
    <col min="2" max="2" width="15.42578125" style="35" customWidth="1"/>
    <col min="3" max="3" width="84.140625" style="2" customWidth="1"/>
    <col min="4" max="4" width="10.140625" style="81" customWidth="1"/>
    <col min="5" max="5" width="10.140625" style="2" customWidth="1"/>
    <col min="6" max="6" width="18.85546875" style="2" customWidth="1"/>
    <col min="7" max="7" width="16.140625" style="2" bestFit="1" customWidth="1"/>
    <col min="8" max="8" width="16.85546875" style="2" customWidth="1"/>
    <col min="9" max="9" width="16.140625" style="2" bestFit="1" customWidth="1"/>
    <col min="10" max="11" width="11.42578125" style="2"/>
    <col min="12" max="12" width="17.7109375" style="2" bestFit="1" customWidth="1"/>
    <col min="13" max="16384" width="11.42578125" style="2"/>
  </cols>
  <sheetData>
    <row r="1" spans="1:8" ht="15" customHeight="1">
      <c r="A1" s="83"/>
      <c r="B1" s="1"/>
      <c r="C1" s="1"/>
      <c r="D1" s="79"/>
      <c r="E1" s="1"/>
      <c r="F1" s="1"/>
      <c r="G1" s="1"/>
      <c r="H1" s="41"/>
    </row>
    <row r="2" spans="1:8" ht="12.75" customHeight="1">
      <c r="A2" s="84"/>
      <c r="B2" s="3"/>
      <c r="C2" s="3"/>
      <c r="D2" s="80"/>
      <c r="E2" s="3"/>
      <c r="F2" s="3"/>
      <c r="G2" s="3"/>
      <c r="H2" s="7"/>
    </row>
    <row r="3" spans="1:8" ht="48" customHeight="1">
      <c r="A3" s="84"/>
      <c r="B3" s="3"/>
      <c r="C3" s="4" t="s">
        <v>6</v>
      </c>
      <c r="D3" s="80"/>
      <c r="E3" s="3"/>
      <c r="F3" s="3"/>
      <c r="G3" s="3"/>
      <c r="H3" s="7"/>
    </row>
    <row r="4" spans="1:8" ht="12.75" customHeight="1">
      <c r="A4" s="84"/>
      <c r="B4" s="5" t="s">
        <v>482</v>
      </c>
      <c r="C4" s="5"/>
      <c r="D4" s="80"/>
      <c r="E4" s="3"/>
      <c r="F4" s="3"/>
      <c r="G4" s="3"/>
      <c r="H4" s="7"/>
    </row>
    <row r="5" spans="1:8" ht="37.5" customHeight="1">
      <c r="A5" s="84"/>
      <c r="B5" s="366" t="s">
        <v>900</v>
      </c>
      <c r="C5" s="366"/>
      <c r="D5" s="366"/>
      <c r="E5" s="366"/>
      <c r="F5" s="366"/>
      <c r="G5" s="366"/>
      <c r="H5" s="7"/>
    </row>
    <row r="6" spans="1:8" ht="21" customHeight="1">
      <c r="A6" s="84"/>
      <c r="B6" s="365" t="s">
        <v>903</v>
      </c>
      <c r="C6" s="365"/>
      <c r="D6" s="365"/>
      <c r="E6" s="365"/>
      <c r="F6" s="6"/>
      <c r="G6" s="6"/>
      <c r="H6" s="7"/>
    </row>
    <row r="7" spans="1:8" ht="21" customHeight="1">
      <c r="A7" s="84"/>
      <c r="B7" s="365" t="s">
        <v>662</v>
      </c>
      <c r="C7" s="365"/>
      <c r="D7" s="365"/>
      <c r="E7" s="365"/>
      <c r="F7" s="6"/>
      <c r="G7" s="6"/>
      <c r="H7" s="7"/>
    </row>
    <row r="8" spans="1:8" ht="15.75" thickBot="1">
      <c r="A8" s="85"/>
      <c r="B8" s="8"/>
      <c r="C8" s="9"/>
      <c r="D8" s="367"/>
      <c r="E8" s="367"/>
      <c r="F8" s="367"/>
      <c r="G8" s="367"/>
      <c r="H8" s="42"/>
    </row>
    <row r="9" spans="1:8" s="12" customFormat="1" ht="30">
      <c r="A9" s="371" t="s">
        <v>8</v>
      </c>
      <c r="B9" s="373" t="s">
        <v>0</v>
      </c>
      <c r="C9" s="375" t="s">
        <v>1</v>
      </c>
      <c r="D9" s="377" t="s">
        <v>5</v>
      </c>
      <c r="E9" s="377" t="s">
        <v>2</v>
      </c>
      <c r="F9" s="119" t="s">
        <v>3</v>
      </c>
      <c r="G9" s="10" t="s">
        <v>81</v>
      </c>
      <c r="H9" s="11" t="s">
        <v>481</v>
      </c>
    </row>
    <row r="10" spans="1:8" s="12" customFormat="1" ht="15">
      <c r="A10" s="372"/>
      <c r="B10" s="374"/>
      <c r="C10" s="376"/>
      <c r="D10" s="378"/>
      <c r="E10" s="378"/>
      <c r="F10" s="120" t="s">
        <v>97</v>
      </c>
      <c r="G10" s="13" t="s">
        <v>4</v>
      </c>
      <c r="H10" s="13" t="s">
        <v>4</v>
      </c>
    </row>
    <row r="11" spans="1:8" s="12" customFormat="1" ht="15">
      <c r="A11" s="14"/>
      <c r="B11" s="117"/>
      <c r="C11" s="118"/>
      <c r="D11" s="120"/>
      <c r="E11" s="120"/>
      <c r="F11" s="17"/>
      <c r="G11" s="43"/>
      <c r="H11" s="44"/>
    </row>
    <row r="12" spans="1:8" s="12" customFormat="1" ht="15">
      <c r="A12" s="14" t="s">
        <v>85</v>
      </c>
      <c r="B12" s="117"/>
      <c r="C12" s="15" t="s">
        <v>79</v>
      </c>
      <c r="D12" s="120"/>
      <c r="E12" s="120"/>
      <c r="F12" s="17"/>
      <c r="G12" s="43"/>
      <c r="H12" s="44"/>
    </row>
    <row r="13" spans="1:8" s="12" customFormat="1" ht="15">
      <c r="A13" s="14" t="s">
        <v>83</v>
      </c>
      <c r="B13" s="16" t="s">
        <v>410</v>
      </c>
      <c r="C13" s="282" t="s">
        <v>409</v>
      </c>
      <c r="D13" s="277" t="s">
        <v>487</v>
      </c>
      <c r="E13" s="274">
        <f>'MEMORIAL DE CALCULO GERAL'!E4</f>
        <v>79.510000000000005</v>
      </c>
      <c r="F13" s="278"/>
      <c r="G13" s="279">
        <f>E13*F13</f>
        <v>0</v>
      </c>
      <c r="H13" s="280">
        <f>ROUND(G13*0.2418+G13,2)</f>
        <v>0</v>
      </c>
    </row>
    <row r="14" spans="1:8" s="12" customFormat="1" ht="15">
      <c r="A14" s="14" t="s">
        <v>14</v>
      </c>
      <c r="B14" s="16" t="s">
        <v>19</v>
      </c>
      <c r="C14" s="282" t="s">
        <v>403</v>
      </c>
      <c r="D14" s="277" t="s">
        <v>487</v>
      </c>
      <c r="E14" s="274">
        <f>'MEMORIAL DE CALCULO GERAL'!E5</f>
        <v>5.18</v>
      </c>
      <c r="F14" s="278"/>
      <c r="G14" s="279">
        <f>E14*F14</f>
        <v>0</v>
      </c>
      <c r="H14" s="280">
        <f>ROUND(G14*0.2418+G14,2)</f>
        <v>0</v>
      </c>
    </row>
    <row r="15" spans="1:8" s="12" customFormat="1" ht="15">
      <c r="A15" s="14"/>
      <c r="B15" s="16"/>
      <c r="C15" s="283" t="s">
        <v>7</v>
      </c>
      <c r="D15" s="277"/>
      <c r="E15" s="274">
        <f>'MEMORIAL DE CALCULO GERAL'!E6</f>
        <v>0</v>
      </c>
      <c r="F15" s="278"/>
      <c r="G15" s="284">
        <f>SUM(G13:G14)</f>
        <v>0</v>
      </c>
      <c r="H15" s="285">
        <f>ROUND(SUM(H13:H14),2)</f>
        <v>0</v>
      </c>
    </row>
    <row r="16" spans="1:8" s="12" customFormat="1" ht="15">
      <c r="A16" s="14"/>
      <c r="B16" s="16"/>
      <c r="C16" s="282"/>
      <c r="D16" s="277"/>
      <c r="E16" s="274">
        <f>'MEMORIAL DE CALCULO GERAL'!E7</f>
        <v>0</v>
      </c>
      <c r="F16" s="278"/>
      <c r="G16" s="279"/>
      <c r="H16" s="280"/>
    </row>
    <row r="17" spans="1:8" s="12" customFormat="1" ht="15">
      <c r="A17" s="14" t="s">
        <v>84</v>
      </c>
      <c r="B17" s="117"/>
      <c r="C17" s="286" t="s">
        <v>80</v>
      </c>
      <c r="D17" s="287"/>
      <c r="E17" s="274">
        <f>'MEMORIAL DE CALCULO GERAL'!E8</f>
        <v>0</v>
      </c>
      <c r="F17" s="288"/>
      <c r="G17" s="289"/>
      <c r="H17" s="280"/>
    </row>
    <row r="18" spans="1:8" s="12" customFormat="1" ht="15">
      <c r="A18" s="14" t="s">
        <v>15</v>
      </c>
      <c r="B18" s="16" t="s">
        <v>400</v>
      </c>
      <c r="C18" s="282" t="s">
        <v>399</v>
      </c>
      <c r="D18" s="277" t="s">
        <v>490</v>
      </c>
      <c r="E18" s="274">
        <f>'MEMORIAL DE CALCULO GERAL'!E9</f>
        <v>6.75</v>
      </c>
      <c r="F18" s="278"/>
      <c r="G18" s="279">
        <f t="shared" ref="G18:G44" si="0">E18*F18</f>
        <v>0</v>
      </c>
      <c r="H18" s="280">
        <f>ROUND(G18*0.2418+G18,2)</f>
        <v>0</v>
      </c>
    </row>
    <row r="19" spans="1:8" s="12" customFormat="1" ht="15">
      <c r="A19" s="14" t="s">
        <v>16</v>
      </c>
      <c r="B19" s="16" t="s">
        <v>397</v>
      </c>
      <c r="C19" s="282" t="s">
        <v>396</v>
      </c>
      <c r="D19" s="277" t="s">
        <v>490</v>
      </c>
      <c r="E19" s="274">
        <f>'MEMORIAL DE CALCULO GERAL'!E10</f>
        <v>0.45</v>
      </c>
      <c r="F19" s="278"/>
      <c r="G19" s="279">
        <f t="shared" si="0"/>
        <v>0</v>
      </c>
      <c r="H19" s="280">
        <f t="shared" ref="H19:H24" si="1">ROUND(G19*0.2418+G19,2)</f>
        <v>0</v>
      </c>
    </row>
    <row r="20" spans="1:8" s="12" customFormat="1" ht="18" customHeight="1">
      <c r="A20" s="14" t="s">
        <v>17</v>
      </c>
      <c r="B20" s="16" t="s">
        <v>20</v>
      </c>
      <c r="C20" s="282" t="s">
        <v>395</v>
      </c>
      <c r="D20" s="277" t="s">
        <v>490</v>
      </c>
      <c r="E20" s="274">
        <f>'MEMORIAL DE CALCULO GERAL'!E11</f>
        <v>27.4</v>
      </c>
      <c r="F20" s="278"/>
      <c r="G20" s="279">
        <f t="shared" si="0"/>
        <v>0</v>
      </c>
      <c r="H20" s="280">
        <f t="shared" si="1"/>
        <v>0</v>
      </c>
    </row>
    <row r="21" spans="1:8" s="12" customFormat="1" ht="15">
      <c r="A21" s="14" t="s">
        <v>502</v>
      </c>
      <c r="B21" s="16" t="s">
        <v>393</v>
      </c>
      <c r="C21" s="282" t="s">
        <v>392</v>
      </c>
      <c r="D21" s="277" t="s">
        <v>487</v>
      </c>
      <c r="E21" s="274">
        <f>'MEMORIAL DE CALCULO GERAL'!E12</f>
        <v>34.72</v>
      </c>
      <c r="F21" s="278"/>
      <c r="G21" s="279">
        <f t="shared" si="0"/>
        <v>0</v>
      </c>
      <c r="H21" s="280">
        <f t="shared" si="1"/>
        <v>0</v>
      </c>
    </row>
    <row r="22" spans="1:8" s="12" customFormat="1" ht="15">
      <c r="A22" s="14" t="s">
        <v>408</v>
      </c>
      <c r="B22" s="16" t="s">
        <v>390</v>
      </c>
      <c r="C22" s="282" t="s">
        <v>389</v>
      </c>
      <c r="D22" s="277" t="s">
        <v>487</v>
      </c>
      <c r="E22" s="274">
        <f>'MEMORIAL DE CALCULO GERAL'!E13</f>
        <v>489.26</v>
      </c>
      <c r="F22" s="278"/>
      <c r="G22" s="279">
        <f t="shared" si="0"/>
        <v>0</v>
      </c>
      <c r="H22" s="280">
        <f t="shared" si="1"/>
        <v>0</v>
      </c>
    </row>
    <row r="23" spans="1:8" s="12" customFormat="1" ht="15">
      <c r="A23" s="14" t="s">
        <v>405</v>
      </c>
      <c r="B23" s="16" t="s">
        <v>387</v>
      </c>
      <c r="C23" s="282" t="s">
        <v>386</v>
      </c>
      <c r="D23" s="277" t="s">
        <v>487</v>
      </c>
      <c r="E23" s="274">
        <f>'MEMORIAL DE CALCULO GERAL'!E14</f>
        <v>295.73</v>
      </c>
      <c r="F23" s="278"/>
      <c r="G23" s="279">
        <f t="shared" si="0"/>
        <v>0</v>
      </c>
      <c r="H23" s="280">
        <f t="shared" si="1"/>
        <v>0</v>
      </c>
    </row>
    <row r="24" spans="1:8" s="12" customFormat="1" ht="15">
      <c r="A24" s="14" t="s">
        <v>503</v>
      </c>
      <c r="B24" s="16" t="s">
        <v>385</v>
      </c>
      <c r="C24" s="282" t="s">
        <v>384</v>
      </c>
      <c r="D24" s="277" t="s">
        <v>487</v>
      </c>
      <c r="E24" s="274">
        <f>'MEMORIAL DE CALCULO GERAL'!E15</f>
        <v>1174.57</v>
      </c>
      <c r="F24" s="278"/>
      <c r="G24" s="279">
        <f t="shared" si="0"/>
        <v>0</v>
      </c>
      <c r="H24" s="280">
        <f t="shared" si="1"/>
        <v>0</v>
      </c>
    </row>
    <row r="25" spans="1:8" s="12" customFormat="1" ht="15">
      <c r="A25" s="14" t="s">
        <v>404</v>
      </c>
      <c r="B25" s="16" t="s">
        <v>383</v>
      </c>
      <c r="C25" s="282" t="s">
        <v>382</v>
      </c>
      <c r="D25" s="277" t="s">
        <v>492</v>
      </c>
      <c r="E25" s="274">
        <f>'MEMORIAL DE CALCULO GERAL'!E16</f>
        <v>887.76</v>
      </c>
      <c r="F25" s="278"/>
      <c r="G25" s="279">
        <f t="shared" si="0"/>
        <v>0</v>
      </c>
      <c r="H25" s="280">
        <f>ROUND(G25*0.2418+G25,2)</f>
        <v>0</v>
      </c>
    </row>
    <row r="26" spans="1:8" s="12" customFormat="1" ht="15">
      <c r="A26" s="14" t="s">
        <v>402</v>
      </c>
      <c r="B26" s="16" t="s">
        <v>380</v>
      </c>
      <c r="C26" s="282" t="s">
        <v>379</v>
      </c>
      <c r="D26" s="277" t="s">
        <v>487</v>
      </c>
      <c r="E26" s="274">
        <f>'MEMORIAL DE CALCULO GERAL'!E17</f>
        <v>81</v>
      </c>
      <c r="F26" s="278"/>
      <c r="G26" s="279">
        <f t="shared" si="0"/>
        <v>0</v>
      </c>
      <c r="H26" s="280">
        <f>ROUND(G26*0.2418+G26,2)</f>
        <v>0</v>
      </c>
    </row>
    <row r="27" spans="1:8" s="12" customFormat="1" ht="15">
      <c r="A27" s="14" t="s">
        <v>401</v>
      </c>
      <c r="B27" s="16" t="s">
        <v>376</v>
      </c>
      <c r="C27" s="282" t="s">
        <v>375</v>
      </c>
      <c r="D27" s="277" t="s">
        <v>486</v>
      </c>
      <c r="E27" s="274">
        <f>'MEMORIAL DE CALCULO GERAL'!E18</f>
        <v>4</v>
      </c>
      <c r="F27" s="278"/>
      <c r="G27" s="279">
        <f t="shared" si="0"/>
        <v>0</v>
      </c>
      <c r="H27" s="280">
        <f t="shared" ref="H27:H33" si="2">ROUND(G27*0.2418+G27,2)</f>
        <v>0</v>
      </c>
    </row>
    <row r="28" spans="1:8" s="12" customFormat="1" ht="15">
      <c r="A28" s="14" t="s">
        <v>504</v>
      </c>
      <c r="B28" s="16" t="s">
        <v>374</v>
      </c>
      <c r="C28" s="282" t="s">
        <v>373</v>
      </c>
      <c r="D28" s="277" t="s">
        <v>489</v>
      </c>
      <c r="E28" s="274">
        <f>'MEMORIAL DE CALCULO GERAL'!E19</f>
        <v>53.9</v>
      </c>
      <c r="F28" s="278"/>
      <c r="G28" s="279">
        <f t="shared" si="0"/>
        <v>0</v>
      </c>
      <c r="H28" s="280">
        <f t="shared" si="2"/>
        <v>0</v>
      </c>
    </row>
    <row r="29" spans="1:8" s="12" customFormat="1" ht="15">
      <c r="A29" s="14" t="s">
        <v>505</v>
      </c>
      <c r="B29" s="16" t="s">
        <v>372</v>
      </c>
      <c r="C29" s="282" t="s">
        <v>371</v>
      </c>
      <c r="D29" s="277" t="s">
        <v>486</v>
      </c>
      <c r="E29" s="274">
        <f>'MEMORIAL DE CALCULO GERAL'!E20</f>
        <v>11</v>
      </c>
      <c r="F29" s="278"/>
      <c r="G29" s="279">
        <f t="shared" si="0"/>
        <v>0</v>
      </c>
      <c r="H29" s="280">
        <f t="shared" si="2"/>
        <v>0</v>
      </c>
    </row>
    <row r="30" spans="1:8" s="12" customFormat="1" ht="15">
      <c r="A30" s="14" t="s">
        <v>506</v>
      </c>
      <c r="B30" s="16" t="s">
        <v>370</v>
      </c>
      <c r="C30" s="282" t="s">
        <v>369</v>
      </c>
      <c r="D30" s="277" t="s">
        <v>489</v>
      </c>
      <c r="E30" s="274">
        <f>'MEMORIAL DE CALCULO GERAL'!E21</f>
        <v>3.95</v>
      </c>
      <c r="F30" s="278"/>
      <c r="G30" s="279">
        <f t="shared" si="0"/>
        <v>0</v>
      </c>
      <c r="H30" s="280">
        <f t="shared" si="2"/>
        <v>0</v>
      </c>
    </row>
    <row r="31" spans="1:8" s="12" customFormat="1" ht="15">
      <c r="A31" s="14" t="s">
        <v>507</v>
      </c>
      <c r="B31" s="16" t="s">
        <v>368</v>
      </c>
      <c r="C31" s="282" t="s">
        <v>367</v>
      </c>
      <c r="D31" s="277" t="s">
        <v>487</v>
      </c>
      <c r="E31" s="274">
        <f>'MEMORIAL DE CALCULO GERAL'!E22</f>
        <v>33.79</v>
      </c>
      <c r="F31" s="278"/>
      <c r="G31" s="279">
        <f t="shared" si="0"/>
        <v>0</v>
      </c>
      <c r="H31" s="280">
        <f t="shared" si="2"/>
        <v>0</v>
      </c>
    </row>
    <row r="32" spans="1:8" s="12" customFormat="1" ht="15">
      <c r="A32" s="14" t="s">
        <v>508</v>
      </c>
      <c r="B32" s="16" t="s">
        <v>366</v>
      </c>
      <c r="C32" s="282" t="s">
        <v>365</v>
      </c>
      <c r="D32" s="277" t="s">
        <v>486</v>
      </c>
      <c r="E32" s="274">
        <f>'MEMORIAL DE CALCULO GERAL'!E23</f>
        <v>15</v>
      </c>
      <c r="F32" s="278"/>
      <c r="G32" s="279">
        <f t="shared" si="0"/>
        <v>0</v>
      </c>
      <c r="H32" s="280">
        <f t="shared" si="2"/>
        <v>0</v>
      </c>
    </row>
    <row r="33" spans="1:8" s="12" customFormat="1" ht="15">
      <c r="A33" s="14" t="s">
        <v>509</v>
      </c>
      <c r="B33" s="16" t="s">
        <v>364</v>
      </c>
      <c r="C33" s="282" t="s">
        <v>363</v>
      </c>
      <c r="D33" s="277" t="s">
        <v>487</v>
      </c>
      <c r="E33" s="274">
        <f>'MEMORIAL DE CALCULO GERAL'!E24</f>
        <v>2.48</v>
      </c>
      <c r="F33" s="278"/>
      <c r="G33" s="279">
        <f t="shared" si="0"/>
        <v>0</v>
      </c>
      <c r="H33" s="280">
        <f t="shared" si="2"/>
        <v>0</v>
      </c>
    </row>
    <row r="34" spans="1:8" s="12" customFormat="1" ht="15">
      <c r="A34" s="14" t="s">
        <v>510</v>
      </c>
      <c r="B34" s="16" t="s">
        <v>362</v>
      </c>
      <c r="C34" s="282" t="s">
        <v>361</v>
      </c>
      <c r="D34" s="277" t="s">
        <v>486</v>
      </c>
      <c r="E34" s="274">
        <f>'MEMORIAL DE CALCULO GERAL'!E25</f>
        <v>3</v>
      </c>
      <c r="F34" s="278"/>
      <c r="G34" s="279">
        <f t="shared" si="0"/>
        <v>0</v>
      </c>
      <c r="H34" s="280">
        <f t="shared" ref="H34:H44" si="3">ROUND(G34*0.2418+G34,2)</f>
        <v>0</v>
      </c>
    </row>
    <row r="35" spans="1:8" s="12" customFormat="1" ht="15">
      <c r="A35" s="14" t="s">
        <v>522</v>
      </c>
      <c r="B35" s="16" t="s">
        <v>360</v>
      </c>
      <c r="C35" s="282" t="s">
        <v>359</v>
      </c>
      <c r="D35" s="277" t="s">
        <v>486</v>
      </c>
      <c r="E35" s="274">
        <f>'MEMORIAL DE CALCULO GERAL'!E26</f>
        <v>2</v>
      </c>
      <c r="F35" s="278"/>
      <c r="G35" s="279">
        <f t="shared" si="0"/>
        <v>0</v>
      </c>
      <c r="H35" s="280">
        <f t="shared" si="3"/>
        <v>0</v>
      </c>
    </row>
    <row r="36" spans="1:8" s="12" customFormat="1" ht="15">
      <c r="A36" s="14" t="s">
        <v>523</v>
      </c>
      <c r="B36" s="16" t="s">
        <v>358</v>
      </c>
      <c r="C36" s="282" t="s">
        <v>357</v>
      </c>
      <c r="D36" s="277" t="s">
        <v>486</v>
      </c>
      <c r="E36" s="274">
        <f>'MEMORIAL DE CALCULO GERAL'!E27</f>
        <v>1</v>
      </c>
      <c r="F36" s="278"/>
      <c r="G36" s="279">
        <f t="shared" si="0"/>
        <v>0</v>
      </c>
      <c r="H36" s="280">
        <f t="shared" si="3"/>
        <v>0</v>
      </c>
    </row>
    <row r="37" spans="1:8" s="12" customFormat="1" ht="15">
      <c r="A37" s="14" t="s">
        <v>524</v>
      </c>
      <c r="B37" s="16" t="s">
        <v>356</v>
      </c>
      <c r="C37" s="282" t="s">
        <v>355</v>
      </c>
      <c r="D37" s="277" t="s">
        <v>486</v>
      </c>
      <c r="E37" s="274">
        <f>'MEMORIAL DE CALCULO GERAL'!E28</f>
        <v>47</v>
      </c>
      <c r="F37" s="278"/>
      <c r="G37" s="279">
        <f t="shared" si="0"/>
        <v>0</v>
      </c>
      <c r="H37" s="280">
        <f t="shared" si="3"/>
        <v>0</v>
      </c>
    </row>
    <row r="38" spans="1:8" s="12" customFormat="1" ht="15">
      <c r="A38" s="14" t="s">
        <v>525</v>
      </c>
      <c r="B38" s="16" t="s">
        <v>352</v>
      </c>
      <c r="C38" s="282" t="s">
        <v>351</v>
      </c>
      <c r="D38" s="277" t="s">
        <v>486</v>
      </c>
      <c r="E38" s="274">
        <f>'MEMORIAL DE CALCULO GERAL'!E29</f>
        <v>43</v>
      </c>
      <c r="F38" s="278"/>
      <c r="G38" s="279">
        <f t="shared" si="0"/>
        <v>0</v>
      </c>
      <c r="H38" s="280">
        <f t="shared" si="3"/>
        <v>0</v>
      </c>
    </row>
    <row r="39" spans="1:8" s="12" customFormat="1" ht="15">
      <c r="A39" s="14" t="s">
        <v>526</v>
      </c>
      <c r="B39" s="16" t="s">
        <v>350</v>
      </c>
      <c r="C39" s="282" t="s">
        <v>349</v>
      </c>
      <c r="D39" s="277" t="s">
        <v>487</v>
      </c>
      <c r="E39" s="274">
        <f>'MEMORIAL DE CALCULO GERAL'!E30</f>
        <v>0.24</v>
      </c>
      <c r="F39" s="278"/>
      <c r="G39" s="279">
        <f t="shared" si="0"/>
        <v>0</v>
      </c>
      <c r="H39" s="280">
        <f t="shared" si="3"/>
        <v>0</v>
      </c>
    </row>
    <row r="40" spans="1:8" s="12" customFormat="1" ht="15">
      <c r="A40" s="14" t="s">
        <v>527</v>
      </c>
      <c r="B40" s="16" t="s">
        <v>348</v>
      </c>
      <c r="C40" s="282" t="s">
        <v>347</v>
      </c>
      <c r="D40" s="277" t="s">
        <v>489</v>
      </c>
      <c r="E40" s="274">
        <f>'MEMORIAL DE CALCULO GERAL'!E31</f>
        <v>97.31</v>
      </c>
      <c r="F40" s="278"/>
      <c r="G40" s="279">
        <f t="shared" si="0"/>
        <v>0</v>
      </c>
      <c r="H40" s="280">
        <f t="shared" si="3"/>
        <v>0</v>
      </c>
    </row>
    <row r="41" spans="1:8" s="12" customFormat="1" ht="15">
      <c r="A41" s="14" t="s">
        <v>528</v>
      </c>
      <c r="B41" s="16" t="s">
        <v>346</v>
      </c>
      <c r="C41" s="282" t="s">
        <v>345</v>
      </c>
      <c r="D41" s="277" t="s">
        <v>486</v>
      </c>
      <c r="E41" s="274">
        <f>'MEMORIAL DE CALCULO GERAL'!E32</f>
        <v>3</v>
      </c>
      <c r="F41" s="278"/>
      <c r="G41" s="279">
        <f t="shared" si="0"/>
        <v>0</v>
      </c>
      <c r="H41" s="280">
        <f t="shared" si="3"/>
        <v>0</v>
      </c>
    </row>
    <row r="42" spans="1:8" s="12" customFormat="1" ht="15">
      <c r="A42" s="14" t="s">
        <v>529</v>
      </c>
      <c r="B42" s="16" t="s">
        <v>344</v>
      </c>
      <c r="C42" s="282" t="s">
        <v>343</v>
      </c>
      <c r="D42" s="277" t="s">
        <v>486</v>
      </c>
      <c r="E42" s="274">
        <f>'MEMORIAL DE CALCULO GERAL'!E33</f>
        <v>1</v>
      </c>
      <c r="F42" s="278"/>
      <c r="G42" s="279">
        <f t="shared" si="0"/>
        <v>0</v>
      </c>
      <c r="H42" s="280">
        <f t="shared" si="3"/>
        <v>0</v>
      </c>
    </row>
    <row r="43" spans="1:8" s="12" customFormat="1" ht="15">
      <c r="A43" s="14" t="s">
        <v>530</v>
      </c>
      <c r="B43" s="16" t="s">
        <v>342</v>
      </c>
      <c r="C43" s="282" t="s">
        <v>341</v>
      </c>
      <c r="D43" s="277" t="s">
        <v>489</v>
      </c>
      <c r="E43" s="274">
        <f>'MEMORIAL DE CALCULO GERAL'!E34</f>
        <v>2.7</v>
      </c>
      <c r="F43" s="278"/>
      <c r="G43" s="279">
        <f t="shared" si="0"/>
        <v>0</v>
      </c>
      <c r="H43" s="280">
        <f t="shared" si="3"/>
        <v>0</v>
      </c>
    </row>
    <row r="44" spans="1:8" s="12" customFormat="1" ht="15">
      <c r="A44" s="14" t="s">
        <v>531</v>
      </c>
      <c r="B44" s="16" t="s">
        <v>354</v>
      </c>
      <c r="C44" s="282" t="s">
        <v>353</v>
      </c>
      <c r="D44" s="277" t="s">
        <v>486</v>
      </c>
      <c r="E44" s="274">
        <f>'MEMORIAL DE CALCULO GERAL'!E35</f>
        <v>7</v>
      </c>
      <c r="F44" s="278"/>
      <c r="G44" s="279">
        <f t="shared" si="0"/>
        <v>0</v>
      </c>
      <c r="H44" s="280">
        <f t="shared" si="3"/>
        <v>0</v>
      </c>
    </row>
    <row r="45" spans="1:8" s="12" customFormat="1" ht="15">
      <c r="A45" s="14"/>
      <c r="B45" s="18"/>
      <c r="C45" s="283" t="s">
        <v>7</v>
      </c>
      <c r="D45" s="290"/>
      <c r="E45" s="274">
        <f>'MEMORIAL DE CALCULO GERAL'!E36</f>
        <v>0</v>
      </c>
      <c r="F45" s="291"/>
      <c r="G45" s="284">
        <f>SUM(G18:G44)</f>
        <v>0</v>
      </c>
      <c r="H45" s="285">
        <f>ROUND(SUM(H18:H44),2)</f>
        <v>0</v>
      </c>
    </row>
    <row r="46" spans="1:8" s="12" customFormat="1" ht="15">
      <c r="A46" s="86"/>
      <c r="B46" s="18"/>
      <c r="C46" s="283"/>
      <c r="D46" s="290"/>
      <c r="E46" s="274">
        <f>'MEMORIAL DE CALCULO GERAL'!E37</f>
        <v>0</v>
      </c>
      <c r="F46" s="291"/>
      <c r="G46" s="284"/>
      <c r="H46" s="280"/>
    </row>
    <row r="47" spans="1:8" s="12" customFormat="1" ht="15">
      <c r="A47" s="14" t="s">
        <v>86</v>
      </c>
      <c r="B47" s="19"/>
      <c r="C47" s="283" t="s">
        <v>465</v>
      </c>
      <c r="D47" s="290"/>
      <c r="E47" s="274">
        <f>'MEMORIAL DE CALCULO GERAL'!E38</f>
        <v>0</v>
      </c>
      <c r="F47" s="291"/>
      <c r="G47" s="279"/>
      <c r="H47" s="280"/>
    </row>
    <row r="48" spans="1:8" s="12" customFormat="1" ht="15">
      <c r="A48" s="14" t="s">
        <v>18</v>
      </c>
      <c r="B48" s="19" t="s">
        <v>337</v>
      </c>
      <c r="C48" s="282" t="s">
        <v>336</v>
      </c>
      <c r="D48" s="277" t="s">
        <v>490</v>
      </c>
      <c r="E48" s="274">
        <f>'MEMORIAL DE CALCULO GERAL'!E39</f>
        <v>9.42</v>
      </c>
      <c r="F48" s="278"/>
      <c r="G48" s="279">
        <f>E48*F48</f>
        <v>0</v>
      </c>
      <c r="H48" s="280">
        <f>ROUND(G48*0.2418+G48,2)</f>
        <v>0</v>
      </c>
    </row>
    <row r="49" spans="1:8" s="12" customFormat="1" ht="15">
      <c r="A49" s="14" t="s">
        <v>398</v>
      </c>
      <c r="B49" s="19" t="s">
        <v>25</v>
      </c>
      <c r="C49" s="282" t="s">
        <v>420</v>
      </c>
      <c r="D49" s="277" t="s">
        <v>490</v>
      </c>
      <c r="E49" s="274">
        <f>'MEMORIAL DE CALCULO GERAL'!E40</f>
        <v>18.8</v>
      </c>
      <c r="F49" s="278"/>
      <c r="G49" s="279">
        <f>E49*F49</f>
        <v>0</v>
      </c>
      <c r="H49" s="280">
        <f>ROUND(G49*0.2418+G49,2)</f>
        <v>0</v>
      </c>
    </row>
    <row r="50" spans="1:8" s="12" customFormat="1" ht="15">
      <c r="A50" s="14" t="s">
        <v>394</v>
      </c>
      <c r="B50" s="19" t="s">
        <v>333</v>
      </c>
      <c r="C50" s="282" t="s">
        <v>332</v>
      </c>
      <c r="D50" s="277" t="s">
        <v>490</v>
      </c>
      <c r="E50" s="274">
        <f>'MEMORIAL DE CALCULO GERAL'!E41</f>
        <v>41.79</v>
      </c>
      <c r="F50" s="278"/>
      <c r="G50" s="279">
        <f>E50*F50</f>
        <v>0</v>
      </c>
      <c r="H50" s="280">
        <f>ROUND(G50*0.2418+G50,2)</f>
        <v>0</v>
      </c>
    </row>
    <row r="51" spans="1:8" s="12" customFormat="1" ht="15">
      <c r="A51" s="14" t="s">
        <v>391</v>
      </c>
      <c r="B51" s="139" t="s">
        <v>330</v>
      </c>
      <c r="C51" s="282" t="s">
        <v>329</v>
      </c>
      <c r="D51" s="277" t="s">
        <v>490</v>
      </c>
      <c r="E51" s="274">
        <f>'MEMORIAL DE CALCULO GERAL'!E42</f>
        <v>59.4</v>
      </c>
      <c r="F51" s="278"/>
      <c r="G51" s="279">
        <f>E51*F51</f>
        <v>0</v>
      </c>
      <c r="H51" s="280">
        <f>ROUND(G51*0.2418+G51,2)</f>
        <v>0</v>
      </c>
    </row>
    <row r="52" spans="1:8" s="12" customFormat="1" ht="15">
      <c r="A52" s="14" t="s">
        <v>388</v>
      </c>
      <c r="B52" s="139" t="s">
        <v>327</v>
      </c>
      <c r="C52" s="282" t="s">
        <v>326</v>
      </c>
      <c r="D52" s="277" t="s">
        <v>490</v>
      </c>
      <c r="E52" s="274">
        <f>'MEMORIAL DE CALCULO GERAL'!E43</f>
        <v>9.42</v>
      </c>
      <c r="F52" s="278"/>
      <c r="G52" s="279">
        <f>E52*F52</f>
        <v>0</v>
      </c>
      <c r="H52" s="280">
        <f>ROUND(G52*0.2418+G52,2)</f>
        <v>0</v>
      </c>
    </row>
    <row r="53" spans="1:8" s="12" customFormat="1" ht="15">
      <c r="A53" s="86"/>
      <c r="B53" s="18"/>
      <c r="C53" s="283" t="s">
        <v>7</v>
      </c>
      <c r="D53" s="290"/>
      <c r="E53" s="274">
        <f>'MEMORIAL DE CALCULO GERAL'!E44</f>
        <v>0</v>
      </c>
      <c r="F53" s="278"/>
      <c r="G53" s="284">
        <f>SUM(G48:G52)</f>
        <v>0</v>
      </c>
      <c r="H53" s="285">
        <f>ROUND(SUM(H48:H52),2)</f>
        <v>0</v>
      </c>
    </row>
    <row r="54" spans="1:8" s="12" customFormat="1" ht="15">
      <c r="A54" s="86"/>
      <c r="B54" s="18"/>
      <c r="C54" s="283"/>
      <c r="D54" s="277"/>
      <c r="E54" s="274">
        <f>'MEMORIAL DE CALCULO GERAL'!E45</f>
        <v>0</v>
      </c>
      <c r="F54" s="291"/>
      <c r="G54" s="284"/>
      <c r="H54" s="280"/>
    </row>
    <row r="55" spans="1:8" s="12" customFormat="1" ht="15">
      <c r="A55" s="86" t="s">
        <v>87</v>
      </c>
      <c r="B55" s="18"/>
      <c r="C55" s="283" t="s">
        <v>494</v>
      </c>
      <c r="D55" s="277"/>
      <c r="E55" s="274">
        <f>'MEMORIAL DE CALCULO GERAL'!E46</f>
        <v>0</v>
      </c>
      <c r="F55" s="291"/>
      <c r="G55" s="284"/>
      <c r="H55" s="280"/>
    </row>
    <row r="56" spans="1:8" s="12" customFormat="1" ht="15">
      <c r="A56" s="86" t="s">
        <v>21</v>
      </c>
      <c r="B56" s="19" t="s">
        <v>303</v>
      </c>
      <c r="C56" s="282" t="s">
        <v>302</v>
      </c>
      <c r="D56" s="277" t="s">
        <v>490</v>
      </c>
      <c r="E56" s="274">
        <f>'MEMORIAL DE CALCULO GERAL'!E47</f>
        <v>1.46</v>
      </c>
      <c r="F56" s="278"/>
      <c r="G56" s="279">
        <f>E56*F56</f>
        <v>0</v>
      </c>
      <c r="H56" s="280">
        <f>ROUND(G56*0.2418+G56,2)</f>
        <v>0</v>
      </c>
    </row>
    <row r="57" spans="1:8" s="12" customFormat="1" ht="15">
      <c r="A57" s="86" t="s">
        <v>22</v>
      </c>
      <c r="B57" s="19" t="s">
        <v>49</v>
      </c>
      <c r="C57" s="282" t="s">
        <v>299</v>
      </c>
      <c r="D57" s="277" t="s">
        <v>487</v>
      </c>
      <c r="E57" s="274">
        <f>'MEMORIAL DE CALCULO GERAL'!E48</f>
        <v>58.22</v>
      </c>
      <c r="F57" s="278"/>
      <c r="G57" s="279">
        <f>E57*F57</f>
        <v>0</v>
      </c>
      <c r="H57" s="280">
        <f>ROUND(G57*0.2418+G57,2)</f>
        <v>0</v>
      </c>
    </row>
    <row r="58" spans="1:8" s="12" customFormat="1" ht="15">
      <c r="A58" s="86" t="s">
        <v>381</v>
      </c>
      <c r="B58" s="19" t="s">
        <v>297</v>
      </c>
      <c r="C58" s="282" t="s">
        <v>296</v>
      </c>
      <c r="D58" s="277" t="s">
        <v>487</v>
      </c>
      <c r="E58" s="274">
        <f>'MEMORIAL DE CALCULO GERAL'!E49</f>
        <v>3.76</v>
      </c>
      <c r="F58" s="278"/>
      <c r="G58" s="279">
        <f>E58*F58</f>
        <v>0</v>
      </c>
      <c r="H58" s="280">
        <f>ROUND(G58*0.2418+G58,2)</f>
        <v>0</v>
      </c>
    </row>
    <row r="59" spans="1:8" s="12" customFormat="1" ht="15">
      <c r="A59" s="86" t="s">
        <v>378</v>
      </c>
      <c r="B59" s="19" t="s">
        <v>295</v>
      </c>
      <c r="C59" s="282" t="s">
        <v>294</v>
      </c>
      <c r="D59" s="277" t="s">
        <v>490</v>
      </c>
      <c r="E59" s="274">
        <f>'MEMORIAL DE CALCULO GERAL'!E50</f>
        <v>0.33</v>
      </c>
      <c r="F59" s="278"/>
      <c r="G59" s="279">
        <f>E59*F59</f>
        <v>0</v>
      </c>
      <c r="H59" s="280">
        <f>ROUND(G59*0.2418+G59,2)</f>
        <v>0</v>
      </c>
    </row>
    <row r="60" spans="1:8" s="12" customFormat="1" ht="15">
      <c r="A60" s="86" t="s">
        <v>377</v>
      </c>
      <c r="B60" s="19" t="s">
        <v>293</v>
      </c>
      <c r="C60" s="282" t="s">
        <v>292</v>
      </c>
      <c r="D60" s="277" t="s">
        <v>487</v>
      </c>
      <c r="E60" s="274">
        <f>'MEMORIAL DE CALCULO GERAL'!E51</f>
        <v>35.479999999999997</v>
      </c>
      <c r="F60" s="278"/>
      <c r="G60" s="279">
        <f>E60*F60</f>
        <v>0</v>
      </c>
      <c r="H60" s="280">
        <f>ROUND(G60*0.2418+G60,2)</f>
        <v>0</v>
      </c>
    </row>
    <row r="61" spans="1:8" s="12" customFormat="1" ht="15">
      <c r="A61" s="86"/>
      <c r="B61" s="18"/>
      <c r="C61" s="283" t="s">
        <v>7</v>
      </c>
      <c r="D61" s="277"/>
      <c r="E61" s="274">
        <f>'MEMORIAL DE CALCULO GERAL'!E52</f>
        <v>0</v>
      </c>
      <c r="F61" s="291"/>
      <c r="G61" s="284">
        <f>SUM(G56:G60)</f>
        <v>0</v>
      </c>
      <c r="H61" s="285">
        <f>ROUND(SUM(H56:H60),2)</f>
        <v>0</v>
      </c>
    </row>
    <row r="62" spans="1:8" s="12" customFormat="1" ht="15">
      <c r="A62" s="86"/>
      <c r="B62" s="18"/>
      <c r="C62" s="283"/>
      <c r="D62" s="277"/>
      <c r="E62" s="274">
        <f>'MEMORIAL DE CALCULO GERAL'!E53</f>
        <v>0</v>
      </c>
      <c r="F62" s="291"/>
      <c r="G62" s="284"/>
      <c r="H62" s="285"/>
    </row>
    <row r="63" spans="1:8" s="12" customFormat="1" ht="15">
      <c r="A63" s="14" t="s">
        <v>88</v>
      </c>
      <c r="B63" s="19"/>
      <c r="C63" s="283" t="s">
        <v>495</v>
      </c>
      <c r="D63" s="290"/>
      <c r="E63" s="274">
        <f>'MEMORIAL DE CALCULO GERAL'!E54</f>
        <v>0</v>
      </c>
      <c r="F63" s="291"/>
      <c r="G63" s="279"/>
      <c r="H63" s="280"/>
    </row>
    <row r="64" spans="1:8" s="12" customFormat="1" ht="15">
      <c r="A64" s="14" t="s">
        <v>89</v>
      </c>
      <c r="B64" s="19" t="s">
        <v>30</v>
      </c>
      <c r="C64" s="282" t="s">
        <v>318</v>
      </c>
      <c r="D64" s="277" t="s">
        <v>487</v>
      </c>
      <c r="E64" s="274">
        <f>'MEMORIAL DE CALCULO GERAL'!E55</f>
        <v>26.37</v>
      </c>
      <c r="F64" s="278"/>
      <c r="G64" s="279">
        <f t="shared" ref="G64:G74" si="4">E64*F64</f>
        <v>0</v>
      </c>
      <c r="H64" s="280">
        <f t="shared" ref="H64:H74" si="5">ROUND(G64*0.2418+G64,2)</f>
        <v>0</v>
      </c>
    </row>
    <row r="65" spans="1:9" s="12" customFormat="1" ht="15">
      <c r="A65" s="14" t="s">
        <v>90</v>
      </c>
      <c r="B65" s="19" t="s">
        <v>31</v>
      </c>
      <c r="C65" s="282" t="s">
        <v>317</v>
      </c>
      <c r="D65" s="277" t="s">
        <v>487</v>
      </c>
      <c r="E65" s="274">
        <f>'MEMORIAL DE CALCULO GERAL'!E56</f>
        <v>29.78</v>
      </c>
      <c r="F65" s="278"/>
      <c r="G65" s="279">
        <f t="shared" si="4"/>
        <v>0</v>
      </c>
      <c r="H65" s="280">
        <f t="shared" si="5"/>
        <v>0</v>
      </c>
    </row>
    <row r="66" spans="1:9" s="12" customFormat="1" ht="15">
      <c r="A66" s="14" t="s">
        <v>91</v>
      </c>
      <c r="B66" s="19" t="s">
        <v>34</v>
      </c>
      <c r="C66" s="282" t="s">
        <v>421</v>
      </c>
      <c r="D66" s="277" t="s">
        <v>492</v>
      </c>
      <c r="E66" s="274">
        <f>'MEMORIAL DE CALCULO GERAL'!E57</f>
        <v>238.04</v>
      </c>
      <c r="F66" s="278"/>
      <c r="G66" s="279">
        <f t="shared" si="4"/>
        <v>0</v>
      </c>
      <c r="H66" s="280">
        <f t="shared" si="5"/>
        <v>0</v>
      </c>
    </row>
    <row r="67" spans="1:9" s="12" customFormat="1" ht="15">
      <c r="A67" s="14" t="s">
        <v>23</v>
      </c>
      <c r="B67" s="19" t="s">
        <v>315</v>
      </c>
      <c r="C67" s="282" t="s">
        <v>422</v>
      </c>
      <c r="D67" s="277" t="s">
        <v>492</v>
      </c>
      <c r="E67" s="274">
        <f>'MEMORIAL DE CALCULO GERAL'!E58</f>
        <v>168.36</v>
      </c>
      <c r="F67" s="278"/>
      <c r="G67" s="279">
        <f>E67*F67</f>
        <v>0</v>
      </c>
      <c r="H67" s="280">
        <f>ROUND(G67*0.2418+G67,2)</f>
        <v>0</v>
      </c>
    </row>
    <row r="68" spans="1:9" s="12" customFormat="1" ht="15">
      <c r="A68" s="14" t="s">
        <v>533</v>
      </c>
      <c r="B68" s="19" t="s">
        <v>314</v>
      </c>
      <c r="C68" s="282" t="s">
        <v>313</v>
      </c>
      <c r="D68" s="277" t="s">
        <v>492</v>
      </c>
      <c r="E68" s="274">
        <f>'MEMORIAL DE CALCULO GERAL'!E59</f>
        <v>63.84</v>
      </c>
      <c r="F68" s="278"/>
      <c r="G68" s="279">
        <f>E68*F68</f>
        <v>0</v>
      </c>
      <c r="H68" s="280">
        <f>ROUND(G68*0.2418+G68,2)</f>
        <v>0</v>
      </c>
    </row>
    <row r="69" spans="1:9" s="12" customFormat="1" ht="15">
      <c r="A69" s="14" t="s">
        <v>534</v>
      </c>
      <c r="B69" s="19" t="s">
        <v>37</v>
      </c>
      <c r="C69" s="282" t="s">
        <v>423</v>
      </c>
      <c r="D69" s="277" t="s">
        <v>490</v>
      </c>
      <c r="E69" s="274">
        <f>'MEMORIAL DE CALCULO GERAL'!E60</f>
        <v>4.78</v>
      </c>
      <c r="F69" s="278"/>
      <c r="G69" s="279">
        <f t="shared" si="4"/>
        <v>0</v>
      </c>
      <c r="H69" s="280">
        <f t="shared" si="5"/>
        <v>0</v>
      </c>
    </row>
    <row r="70" spans="1:9" s="12" customFormat="1" ht="28.5">
      <c r="A70" s="14" t="s">
        <v>340</v>
      </c>
      <c r="B70" s="19" t="s">
        <v>309</v>
      </c>
      <c r="C70" s="282" t="s">
        <v>308</v>
      </c>
      <c r="D70" s="277" t="s">
        <v>490</v>
      </c>
      <c r="E70" s="274">
        <f>'MEMORIAL DE CALCULO GERAL'!E61</f>
        <v>4.78</v>
      </c>
      <c r="F70" s="278"/>
      <c r="G70" s="279">
        <f>E70*F70</f>
        <v>0</v>
      </c>
      <c r="H70" s="280">
        <f>ROUND(G70*0.2418+G70,2)</f>
        <v>0</v>
      </c>
    </row>
    <row r="71" spans="1:9" s="12" customFormat="1" ht="15">
      <c r="A71" s="14" t="s">
        <v>339</v>
      </c>
      <c r="B71" s="19" t="s">
        <v>307</v>
      </c>
      <c r="C71" s="282" t="s">
        <v>306</v>
      </c>
      <c r="D71" s="277" t="s">
        <v>489</v>
      </c>
      <c r="E71" s="274">
        <f>'MEMORIAL DE CALCULO GERAL'!E62</f>
        <v>80.150000000000006</v>
      </c>
      <c r="F71" s="278"/>
      <c r="G71" s="279">
        <f>E71*F71</f>
        <v>0</v>
      </c>
      <c r="H71" s="280">
        <f>ROUND(G71*0.2418+G71,2)</f>
        <v>0</v>
      </c>
    </row>
    <row r="72" spans="1:9" s="12" customFormat="1" ht="15">
      <c r="A72" s="14" t="s">
        <v>419</v>
      </c>
      <c r="B72" s="19" t="s">
        <v>493</v>
      </c>
      <c r="C72" s="282" t="s">
        <v>305</v>
      </c>
      <c r="D72" s="277" t="s">
        <v>489</v>
      </c>
      <c r="E72" s="274">
        <f>'MEMORIAL DE CALCULO GERAL'!E63</f>
        <v>72</v>
      </c>
      <c r="F72" s="278"/>
      <c r="G72" s="279">
        <f>E72*F72</f>
        <v>0</v>
      </c>
      <c r="H72" s="280">
        <f>ROUND(G72*0.2418+G72,2)</f>
        <v>0</v>
      </c>
    </row>
    <row r="73" spans="1:9" s="12" customFormat="1" ht="15">
      <c r="A73" s="14" t="s">
        <v>338</v>
      </c>
      <c r="B73" s="19" t="s">
        <v>52</v>
      </c>
      <c r="C73" s="282" t="s">
        <v>291</v>
      </c>
      <c r="D73" s="277" t="s">
        <v>492</v>
      </c>
      <c r="E73" s="274">
        <f>'MEMORIAL DE CALCULO GERAL'!E64</f>
        <v>1198.03</v>
      </c>
      <c r="F73" s="278"/>
      <c r="G73" s="279">
        <f>E73*F73</f>
        <v>0</v>
      </c>
      <c r="H73" s="280">
        <f>ROUND(G73*0.2418+G73,2)</f>
        <v>0</v>
      </c>
    </row>
    <row r="74" spans="1:9" s="12" customFormat="1" ht="28.5">
      <c r="A74" s="14" t="s">
        <v>661</v>
      </c>
      <c r="B74" s="19" t="s">
        <v>290</v>
      </c>
      <c r="C74" s="282" t="s">
        <v>424</v>
      </c>
      <c r="D74" s="277" t="s">
        <v>487</v>
      </c>
      <c r="E74" s="274">
        <f>'MEMORIAL DE CALCULO GERAL'!E65</f>
        <v>136.19999999999999</v>
      </c>
      <c r="F74" s="278"/>
      <c r="G74" s="279">
        <f t="shared" si="4"/>
        <v>0</v>
      </c>
      <c r="H74" s="280">
        <f t="shared" si="5"/>
        <v>0</v>
      </c>
    </row>
    <row r="75" spans="1:9" s="12" customFormat="1" ht="15">
      <c r="A75" s="86"/>
      <c r="B75" s="18"/>
      <c r="C75" s="283" t="s">
        <v>7</v>
      </c>
      <c r="D75" s="290"/>
      <c r="E75" s="274">
        <f>'MEMORIAL DE CALCULO GERAL'!E66</f>
        <v>0</v>
      </c>
      <c r="F75" s="278"/>
      <c r="G75" s="284">
        <f>SUM(G64:G74)</f>
        <v>0</v>
      </c>
      <c r="H75" s="285">
        <f>ROUND(SUM(H64:H74),2)</f>
        <v>0</v>
      </c>
    </row>
    <row r="76" spans="1:9" s="12" customFormat="1" ht="15">
      <c r="A76" s="86"/>
      <c r="B76" s="18"/>
      <c r="C76" s="283"/>
      <c r="D76" s="277"/>
      <c r="E76" s="274">
        <f>'MEMORIAL DE CALCULO GERAL'!E67</f>
        <v>0</v>
      </c>
      <c r="F76" s="291"/>
      <c r="G76" s="284"/>
      <c r="H76" s="280"/>
    </row>
    <row r="77" spans="1:9" s="12" customFormat="1" ht="15">
      <c r="A77" s="14" t="s">
        <v>92</v>
      </c>
      <c r="B77" s="19"/>
      <c r="C77" s="283" t="s">
        <v>521</v>
      </c>
      <c r="D77" s="277"/>
      <c r="E77" s="274">
        <f>'MEMORIAL DE CALCULO GERAL'!E68</f>
        <v>0</v>
      </c>
      <c r="F77" s="291"/>
      <c r="G77" s="279"/>
      <c r="H77" s="280"/>
      <c r="I77" s="27"/>
    </row>
    <row r="78" spans="1:9" s="12" customFormat="1" ht="15">
      <c r="A78" s="14" t="s">
        <v>24</v>
      </c>
      <c r="B78" s="19" t="s">
        <v>289</v>
      </c>
      <c r="C78" s="282" t="s">
        <v>288</v>
      </c>
      <c r="D78" s="277" t="s">
        <v>487</v>
      </c>
      <c r="E78" s="274">
        <f>'MEMORIAL DE CALCULO GERAL'!E69</f>
        <v>138.72999999999999</v>
      </c>
      <c r="F78" s="278"/>
      <c r="G78" s="279">
        <f t="shared" ref="G78:G97" si="6">E78*F78</f>
        <v>0</v>
      </c>
      <c r="H78" s="280">
        <f t="shared" ref="H78:H97" si="7">ROUND(G78*0.2418+G78,2)</f>
        <v>0</v>
      </c>
      <c r="I78" s="27"/>
    </row>
    <row r="79" spans="1:9" s="12" customFormat="1" ht="15">
      <c r="A79" s="14" t="s">
        <v>335</v>
      </c>
      <c r="B79" s="19" t="s">
        <v>287</v>
      </c>
      <c r="C79" s="282" t="s">
        <v>286</v>
      </c>
      <c r="D79" s="277" t="s">
        <v>487</v>
      </c>
      <c r="E79" s="274">
        <f>'MEMORIAL DE CALCULO GERAL'!E70</f>
        <v>138.72999999999999</v>
      </c>
      <c r="F79" s="278"/>
      <c r="G79" s="279">
        <f t="shared" si="6"/>
        <v>0</v>
      </c>
      <c r="H79" s="280">
        <f t="shared" si="7"/>
        <v>0</v>
      </c>
      <c r="I79" s="27"/>
    </row>
    <row r="80" spans="1:9" s="12" customFormat="1" ht="15">
      <c r="A80" s="14" t="s">
        <v>485</v>
      </c>
      <c r="B80" s="19" t="s">
        <v>56</v>
      </c>
      <c r="C80" s="282" t="s">
        <v>285</v>
      </c>
      <c r="D80" s="277" t="s">
        <v>487</v>
      </c>
      <c r="E80" s="274">
        <f>'MEMORIAL DE CALCULO GERAL'!E71</f>
        <v>138.72999999999999</v>
      </c>
      <c r="F80" s="278"/>
      <c r="G80" s="279">
        <f t="shared" si="6"/>
        <v>0</v>
      </c>
      <c r="H80" s="280">
        <f t="shared" si="7"/>
        <v>0</v>
      </c>
      <c r="I80" s="27"/>
    </row>
    <row r="81" spans="1:9" s="12" customFormat="1" ht="15">
      <c r="A81" s="14" t="s">
        <v>500</v>
      </c>
      <c r="B81" s="19" t="s">
        <v>284</v>
      </c>
      <c r="C81" s="282" t="s">
        <v>425</v>
      </c>
      <c r="D81" s="277" t="s">
        <v>490</v>
      </c>
      <c r="E81" s="274">
        <f>'MEMORIAL DE CALCULO GERAL'!E72</f>
        <v>33.97</v>
      </c>
      <c r="F81" s="278"/>
      <c r="G81" s="279">
        <f t="shared" si="6"/>
        <v>0</v>
      </c>
      <c r="H81" s="280">
        <f t="shared" si="7"/>
        <v>0</v>
      </c>
      <c r="I81" s="78"/>
    </row>
    <row r="82" spans="1:9" s="12" customFormat="1" ht="15">
      <c r="A82" s="14" t="s">
        <v>501</v>
      </c>
      <c r="B82" s="19" t="s">
        <v>283</v>
      </c>
      <c r="C82" s="282" t="s">
        <v>426</v>
      </c>
      <c r="D82" s="277" t="s">
        <v>490</v>
      </c>
      <c r="E82" s="274">
        <f>'MEMORIAL DE CALCULO GERAL'!E73</f>
        <v>6.75</v>
      </c>
      <c r="F82" s="278"/>
      <c r="G82" s="279">
        <f>E82*F82</f>
        <v>0</v>
      </c>
      <c r="H82" s="280">
        <f>ROUND(G82*0.2418+G82,2)</f>
        <v>0</v>
      </c>
      <c r="I82" s="78"/>
    </row>
    <row r="83" spans="1:9" s="12" customFormat="1" ht="15">
      <c r="A83" s="14" t="s">
        <v>511</v>
      </c>
      <c r="B83" s="19" t="s">
        <v>57</v>
      </c>
      <c r="C83" s="282" t="s">
        <v>282</v>
      </c>
      <c r="D83" s="277" t="s">
        <v>487</v>
      </c>
      <c r="E83" s="274">
        <f>'MEMORIAL DE CALCULO GERAL'!E74</f>
        <v>376.48</v>
      </c>
      <c r="F83" s="278"/>
      <c r="G83" s="279">
        <f t="shared" si="6"/>
        <v>0</v>
      </c>
      <c r="H83" s="280">
        <f t="shared" si="7"/>
        <v>0</v>
      </c>
      <c r="I83" s="78"/>
    </row>
    <row r="84" spans="1:9" s="12" customFormat="1" ht="15">
      <c r="A84" s="14" t="s">
        <v>512</v>
      </c>
      <c r="B84" s="19" t="s">
        <v>281</v>
      </c>
      <c r="C84" s="282" t="s">
        <v>280</v>
      </c>
      <c r="D84" s="277" t="s">
        <v>489</v>
      </c>
      <c r="E84" s="274">
        <f>'MEMORIAL DE CALCULO GERAL'!E75</f>
        <v>13.6</v>
      </c>
      <c r="F84" s="278"/>
      <c r="G84" s="279">
        <f t="shared" si="6"/>
        <v>0</v>
      </c>
      <c r="H84" s="280">
        <f t="shared" si="7"/>
        <v>0</v>
      </c>
      <c r="I84" s="27"/>
    </row>
    <row r="85" spans="1:9" s="12" customFormat="1" ht="15">
      <c r="A85" s="14" t="s">
        <v>513</v>
      </c>
      <c r="B85" s="19" t="s">
        <v>58</v>
      </c>
      <c r="C85" s="282" t="s">
        <v>279</v>
      </c>
      <c r="D85" s="277" t="s">
        <v>489</v>
      </c>
      <c r="E85" s="274">
        <f>'MEMORIAL DE CALCULO GERAL'!E76</f>
        <v>267.07</v>
      </c>
      <c r="F85" s="278"/>
      <c r="G85" s="279">
        <f t="shared" si="6"/>
        <v>0</v>
      </c>
      <c r="H85" s="280">
        <f t="shared" si="7"/>
        <v>0</v>
      </c>
      <c r="I85" s="27"/>
    </row>
    <row r="86" spans="1:9" s="12" customFormat="1" ht="15">
      <c r="A86" s="14" t="s">
        <v>514</v>
      </c>
      <c r="B86" s="19" t="s">
        <v>278</v>
      </c>
      <c r="C86" s="282" t="s">
        <v>277</v>
      </c>
      <c r="D86" s="277" t="s">
        <v>489</v>
      </c>
      <c r="E86" s="274">
        <f>'MEMORIAL DE CALCULO GERAL'!E77</f>
        <v>25.3</v>
      </c>
      <c r="F86" s="278"/>
      <c r="G86" s="279">
        <f t="shared" si="6"/>
        <v>0</v>
      </c>
      <c r="H86" s="280">
        <f t="shared" si="7"/>
        <v>0</v>
      </c>
      <c r="I86" s="27"/>
    </row>
    <row r="87" spans="1:9" s="12" customFormat="1" ht="15">
      <c r="A87" s="14" t="s">
        <v>535</v>
      </c>
      <c r="B87" s="19" t="s">
        <v>276</v>
      </c>
      <c r="C87" s="282" t="s">
        <v>275</v>
      </c>
      <c r="D87" s="277" t="s">
        <v>487</v>
      </c>
      <c r="E87" s="274">
        <f>'MEMORIAL DE CALCULO GERAL'!E78</f>
        <v>376.48</v>
      </c>
      <c r="F87" s="278"/>
      <c r="G87" s="279">
        <f t="shared" si="6"/>
        <v>0</v>
      </c>
      <c r="H87" s="280">
        <f t="shared" si="7"/>
        <v>0</v>
      </c>
      <c r="I87" s="27"/>
    </row>
    <row r="88" spans="1:9" s="12" customFormat="1" ht="15">
      <c r="A88" s="14" t="s">
        <v>334</v>
      </c>
      <c r="B88" s="19" t="s">
        <v>274</v>
      </c>
      <c r="C88" s="282" t="s">
        <v>273</v>
      </c>
      <c r="D88" s="277" t="s">
        <v>489</v>
      </c>
      <c r="E88" s="274">
        <f>'MEMORIAL DE CALCULO GERAL'!E79</f>
        <v>13.6</v>
      </c>
      <c r="F88" s="278"/>
      <c r="G88" s="279">
        <f t="shared" si="6"/>
        <v>0</v>
      </c>
      <c r="H88" s="280">
        <f t="shared" si="7"/>
        <v>0</v>
      </c>
      <c r="I88" s="27"/>
    </row>
    <row r="89" spans="1:9" s="12" customFormat="1" ht="42.75">
      <c r="A89" s="14" t="s">
        <v>331</v>
      </c>
      <c r="B89" s="19" t="s">
        <v>272</v>
      </c>
      <c r="C89" s="282" t="s">
        <v>427</v>
      </c>
      <c r="D89" s="277" t="s">
        <v>487</v>
      </c>
      <c r="E89" s="274">
        <f>'MEMORIAL DE CALCULO GERAL'!E80</f>
        <v>138.09</v>
      </c>
      <c r="F89" s="278"/>
      <c r="G89" s="279">
        <f t="shared" si="6"/>
        <v>0</v>
      </c>
      <c r="H89" s="280">
        <f t="shared" si="7"/>
        <v>0</v>
      </c>
    </row>
    <row r="90" spans="1:9" s="12" customFormat="1" ht="28.5">
      <c r="A90" s="14" t="s">
        <v>536</v>
      </c>
      <c r="B90" s="19" t="s">
        <v>428</v>
      </c>
      <c r="C90" s="282" t="s">
        <v>429</v>
      </c>
      <c r="D90" s="277" t="s">
        <v>487</v>
      </c>
      <c r="E90" s="274">
        <f>'MEMORIAL DE CALCULO GERAL'!E81</f>
        <v>103.69</v>
      </c>
      <c r="F90" s="278"/>
      <c r="G90" s="279">
        <f t="shared" si="6"/>
        <v>0</v>
      </c>
      <c r="H90" s="280">
        <f t="shared" si="7"/>
        <v>0</v>
      </c>
    </row>
    <row r="91" spans="1:9" s="12" customFormat="1" ht="28.5">
      <c r="A91" s="14" t="s">
        <v>328</v>
      </c>
      <c r="B91" s="88" t="s">
        <v>430</v>
      </c>
      <c r="C91" s="292" t="s">
        <v>431</v>
      </c>
      <c r="D91" s="273" t="s">
        <v>489</v>
      </c>
      <c r="E91" s="274">
        <f>'MEMORIAL DE CALCULO GERAL'!E82</f>
        <v>37.200000000000003</v>
      </c>
      <c r="F91" s="293"/>
      <c r="G91" s="294">
        <f t="shared" si="6"/>
        <v>0</v>
      </c>
      <c r="H91" s="276">
        <f t="shared" si="7"/>
        <v>0</v>
      </c>
    </row>
    <row r="92" spans="1:9" s="131" customFormat="1" ht="15">
      <c r="A92" s="14" t="s">
        <v>537</v>
      </c>
      <c r="B92" s="88" t="s">
        <v>270</v>
      </c>
      <c r="C92" s="292" t="s">
        <v>269</v>
      </c>
      <c r="D92" s="273" t="s">
        <v>487</v>
      </c>
      <c r="E92" s="274">
        <f>'MEMORIAL DE CALCULO GERAL'!E83</f>
        <v>129.72999999999999</v>
      </c>
      <c r="F92" s="293"/>
      <c r="G92" s="294">
        <f>E92*F92</f>
        <v>0</v>
      </c>
      <c r="H92" s="276">
        <f>ROUND(G92*0.2418+G92,2)</f>
        <v>0</v>
      </c>
    </row>
    <row r="93" spans="1:9" s="12" customFormat="1" ht="28.5">
      <c r="A93" s="14" t="s">
        <v>538</v>
      </c>
      <c r="B93" s="88" t="s">
        <v>271</v>
      </c>
      <c r="C93" s="282" t="s">
        <v>432</v>
      </c>
      <c r="D93" s="277" t="s">
        <v>487</v>
      </c>
      <c r="E93" s="274">
        <f>'MEMORIAL DE CALCULO GERAL'!E84</f>
        <v>126.75</v>
      </c>
      <c r="F93" s="278"/>
      <c r="G93" s="279">
        <f>E93*F93</f>
        <v>0</v>
      </c>
      <c r="H93" s="280">
        <f>ROUND(G93*0.2418+G93,2)</f>
        <v>0</v>
      </c>
    </row>
    <row r="94" spans="1:9" s="12" customFormat="1" ht="28.5">
      <c r="A94" s="14" t="s">
        <v>539</v>
      </c>
      <c r="B94" s="88" t="s">
        <v>249</v>
      </c>
      <c r="C94" s="282" t="s">
        <v>439</v>
      </c>
      <c r="D94" s="277" t="s">
        <v>487</v>
      </c>
      <c r="E94" s="274">
        <f>'MEMORIAL DE CALCULO GERAL'!E85</f>
        <v>33.18</v>
      </c>
      <c r="F94" s="278"/>
      <c r="G94" s="279">
        <f t="shared" si="6"/>
        <v>0</v>
      </c>
      <c r="H94" s="280">
        <f t="shared" si="7"/>
        <v>0</v>
      </c>
    </row>
    <row r="95" spans="1:9" s="12" customFormat="1" ht="28.5">
      <c r="A95" s="14" t="s">
        <v>540</v>
      </c>
      <c r="B95" s="19" t="s">
        <v>248</v>
      </c>
      <c r="C95" s="282" t="s">
        <v>440</v>
      </c>
      <c r="D95" s="277" t="s">
        <v>486</v>
      </c>
      <c r="E95" s="274">
        <f>'MEMORIAL DE CALCULO GERAL'!E86</f>
        <v>36</v>
      </c>
      <c r="F95" s="278"/>
      <c r="G95" s="279">
        <f t="shared" si="6"/>
        <v>0</v>
      </c>
      <c r="H95" s="280">
        <f t="shared" si="7"/>
        <v>0</v>
      </c>
    </row>
    <row r="96" spans="1:9" s="12" customFormat="1" ht="15">
      <c r="A96" s="14" t="s">
        <v>541</v>
      </c>
      <c r="B96" s="19" t="s">
        <v>241</v>
      </c>
      <c r="C96" s="282" t="s">
        <v>240</v>
      </c>
      <c r="D96" s="277" t="s">
        <v>489</v>
      </c>
      <c r="E96" s="274">
        <f>'MEMORIAL DE CALCULO GERAL'!E87</f>
        <v>693.73</v>
      </c>
      <c r="F96" s="278"/>
      <c r="G96" s="279">
        <f t="shared" si="6"/>
        <v>0</v>
      </c>
      <c r="H96" s="280">
        <f t="shared" si="7"/>
        <v>0</v>
      </c>
    </row>
    <row r="97" spans="1:8" s="12" customFormat="1" ht="35.25" customHeight="1">
      <c r="A97" s="14" t="s">
        <v>542</v>
      </c>
      <c r="B97" s="88" t="s">
        <v>239</v>
      </c>
      <c r="C97" s="282" t="s">
        <v>238</v>
      </c>
      <c r="D97" s="277" t="s">
        <v>489</v>
      </c>
      <c r="E97" s="274">
        <f>'MEMORIAL DE CALCULO GERAL'!E88</f>
        <v>11.5</v>
      </c>
      <c r="F97" s="278"/>
      <c r="G97" s="279">
        <f t="shared" si="6"/>
        <v>0</v>
      </c>
      <c r="H97" s="280">
        <f t="shared" si="7"/>
        <v>0</v>
      </c>
    </row>
    <row r="98" spans="1:8" s="12" customFormat="1" ht="35.25" customHeight="1">
      <c r="A98" s="14" t="s">
        <v>660</v>
      </c>
      <c r="B98" s="88" t="s">
        <v>63</v>
      </c>
      <c r="C98" s="282" t="s">
        <v>237</v>
      </c>
      <c r="D98" s="277" t="s">
        <v>487</v>
      </c>
      <c r="E98" s="274">
        <f>'MEMORIAL DE CALCULO GERAL'!E89</f>
        <v>122.13</v>
      </c>
      <c r="F98" s="278"/>
      <c r="G98" s="279">
        <f>E98*F98</f>
        <v>0</v>
      </c>
      <c r="H98" s="280">
        <f>ROUND(G98*0.2418+G98,2)</f>
        <v>0</v>
      </c>
    </row>
    <row r="99" spans="1:8" s="12" customFormat="1" ht="35.25" customHeight="1">
      <c r="A99" s="14" t="s">
        <v>695</v>
      </c>
      <c r="B99" s="88" t="s">
        <v>236</v>
      </c>
      <c r="C99" s="282" t="s">
        <v>235</v>
      </c>
      <c r="D99" s="277" t="s">
        <v>487</v>
      </c>
      <c r="E99" s="274">
        <f>'MEMORIAL DE CALCULO GERAL'!E90</f>
        <v>31.4</v>
      </c>
      <c r="F99" s="278"/>
      <c r="G99" s="279">
        <f>E99*F99</f>
        <v>0</v>
      </c>
      <c r="H99" s="280">
        <f>ROUND(G99*0.2418+G99,2)</f>
        <v>0</v>
      </c>
    </row>
    <row r="100" spans="1:8" s="12" customFormat="1" ht="15">
      <c r="A100" s="72"/>
      <c r="B100" s="18"/>
      <c r="C100" s="283" t="s">
        <v>7</v>
      </c>
      <c r="D100" s="277"/>
      <c r="E100" s="274">
        <f>'MEMORIAL DE CALCULO GERAL'!E91</f>
        <v>0</v>
      </c>
      <c r="F100" s="291"/>
      <c r="G100" s="284">
        <f>SUM(G78:G99)</f>
        <v>0</v>
      </c>
      <c r="H100" s="285">
        <f>ROUND(SUM(H78:H99),2)</f>
        <v>0</v>
      </c>
    </row>
    <row r="101" spans="1:8" s="12" customFormat="1" ht="15">
      <c r="A101" s="72"/>
      <c r="B101" s="18"/>
      <c r="C101" s="283"/>
      <c r="D101" s="277"/>
      <c r="E101" s="274">
        <f>'MEMORIAL DE CALCULO GERAL'!E92</f>
        <v>0</v>
      </c>
      <c r="F101" s="291"/>
      <c r="G101" s="284"/>
      <c r="H101" s="285"/>
    </row>
    <row r="102" spans="1:8" s="12" customFormat="1" ht="15">
      <c r="A102" s="14" t="s">
        <v>543</v>
      </c>
      <c r="B102" s="19"/>
      <c r="C102" s="283" t="s">
        <v>532</v>
      </c>
      <c r="D102" s="290"/>
      <c r="E102" s="274">
        <f>'MEMORIAL DE CALCULO GERAL'!E93</f>
        <v>0</v>
      </c>
      <c r="F102" s="291"/>
      <c r="G102" s="295"/>
      <c r="H102" s="280"/>
    </row>
    <row r="103" spans="1:8" s="12" customFormat="1" ht="15">
      <c r="A103" s="14" t="s">
        <v>26</v>
      </c>
      <c r="B103" s="19" t="s">
        <v>60</v>
      </c>
      <c r="C103" s="282" t="s">
        <v>267</v>
      </c>
      <c r="D103" s="277" t="s">
        <v>487</v>
      </c>
      <c r="E103" s="274">
        <f>'MEMORIAL DE CALCULO GERAL'!E94</f>
        <v>12.18</v>
      </c>
      <c r="F103" s="278"/>
      <c r="G103" s="295">
        <f t="shared" ref="G103:G116" si="8">E103*F103</f>
        <v>0</v>
      </c>
      <c r="H103" s="280">
        <f t="shared" ref="H103:H116" si="9">ROUND(G103*0.2418+G103,2)</f>
        <v>0</v>
      </c>
    </row>
    <row r="104" spans="1:8" s="12" customFormat="1" ht="15">
      <c r="A104" s="14" t="s">
        <v>27</v>
      </c>
      <c r="B104" s="19" t="s">
        <v>266</v>
      </c>
      <c r="C104" s="282" t="s">
        <v>265</v>
      </c>
      <c r="D104" s="277" t="s">
        <v>487</v>
      </c>
      <c r="E104" s="274">
        <f>'MEMORIAL DE CALCULO GERAL'!E95</f>
        <v>1.6800000000000002</v>
      </c>
      <c r="F104" s="278"/>
      <c r="G104" s="295">
        <f t="shared" si="8"/>
        <v>0</v>
      </c>
      <c r="H104" s="280">
        <f t="shared" si="9"/>
        <v>0</v>
      </c>
    </row>
    <row r="105" spans="1:8" s="12" customFormat="1" ht="15">
      <c r="A105" s="14" t="s">
        <v>544</v>
      </c>
      <c r="B105" s="19" t="s">
        <v>259</v>
      </c>
      <c r="C105" s="282" t="s">
        <v>258</v>
      </c>
      <c r="D105" s="277" t="s">
        <v>487</v>
      </c>
      <c r="E105" s="274">
        <f>'MEMORIAL DE CALCULO GERAL'!E96</f>
        <v>8.67</v>
      </c>
      <c r="F105" s="278"/>
      <c r="G105" s="295">
        <f t="shared" si="8"/>
        <v>0</v>
      </c>
      <c r="H105" s="280">
        <f t="shared" si="9"/>
        <v>0</v>
      </c>
    </row>
    <row r="106" spans="1:8" s="12" customFormat="1" ht="27" customHeight="1">
      <c r="A106" s="14" t="s">
        <v>545</v>
      </c>
      <c r="B106" s="19" t="s">
        <v>262</v>
      </c>
      <c r="C106" s="282" t="s">
        <v>261</v>
      </c>
      <c r="D106" s="277" t="s">
        <v>489</v>
      </c>
      <c r="E106" s="274">
        <f>'MEMORIAL DE CALCULO GERAL'!E97</f>
        <v>42.4</v>
      </c>
      <c r="F106" s="278"/>
      <c r="G106" s="295">
        <f t="shared" si="8"/>
        <v>0</v>
      </c>
      <c r="H106" s="280">
        <f t="shared" si="9"/>
        <v>0</v>
      </c>
    </row>
    <row r="107" spans="1:8" s="12" customFormat="1" ht="27" customHeight="1">
      <c r="A107" s="14" t="s">
        <v>325</v>
      </c>
      <c r="B107" s="19" t="s">
        <v>59</v>
      </c>
      <c r="C107" s="282" t="s">
        <v>268</v>
      </c>
      <c r="D107" s="277" t="s">
        <v>487</v>
      </c>
      <c r="E107" s="274">
        <f>'MEMORIAL DE CALCULO GERAL'!E98</f>
        <v>1.92</v>
      </c>
      <c r="F107" s="278"/>
      <c r="G107" s="295">
        <f>E107*F107</f>
        <v>0</v>
      </c>
      <c r="H107" s="280">
        <f>ROUND(G107*0.2418+G107,2)</f>
        <v>0</v>
      </c>
    </row>
    <row r="108" spans="1:8" s="12" customFormat="1" ht="28.5">
      <c r="A108" s="14" t="s">
        <v>324</v>
      </c>
      <c r="B108" s="88" t="s">
        <v>264</v>
      </c>
      <c r="C108" s="282" t="s">
        <v>263</v>
      </c>
      <c r="D108" s="277" t="s">
        <v>487</v>
      </c>
      <c r="E108" s="274">
        <f>'MEMORIAL DE CALCULO GERAL'!E99</f>
        <v>10.6</v>
      </c>
      <c r="F108" s="278"/>
      <c r="G108" s="295">
        <f t="shared" si="8"/>
        <v>0</v>
      </c>
      <c r="H108" s="280">
        <f t="shared" si="9"/>
        <v>0</v>
      </c>
    </row>
    <row r="109" spans="1:8" s="131" customFormat="1" ht="128.25">
      <c r="A109" s="14" t="s">
        <v>546</v>
      </c>
      <c r="B109" s="281" t="s">
        <v>898</v>
      </c>
      <c r="C109" s="292" t="s">
        <v>587</v>
      </c>
      <c r="D109" s="273" t="s">
        <v>487</v>
      </c>
      <c r="E109" s="274">
        <f>'MEMORIAL DE CALCULO GERAL'!E100</f>
        <v>42.43</v>
      </c>
      <c r="F109" s="275"/>
      <c r="G109" s="295">
        <f t="shared" si="8"/>
        <v>0</v>
      </c>
      <c r="H109" s="280">
        <f t="shared" si="9"/>
        <v>0</v>
      </c>
    </row>
    <row r="110" spans="1:8" s="131" customFormat="1" ht="15">
      <c r="A110" s="14" t="s">
        <v>547</v>
      </c>
      <c r="B110" s="88" t="s">
        <v>433</v>
      </c>
      <c r="C110" s="282" t="s">
        <v>434</v>
      </c>
      <c r="D110" s="277" t="s">
        <v>487</v>
      </c>
      <c r="E110" s="274">
        <f>'MEMORIAL DE CALCULO GERAL'!E101</f>
        <v>6.99</v>
      </c>
      <c r="F110" s="278"/>
      <c r="G110" s="295">
        <f>E110*F110</f>
        <v>0</v>
      </c>
      <c r="H110" s="280">
        <f>ROUND(G110*0.2418+G110,2)</f>
        <v>0</v>
      </c>
    </row>
    <row r="111" spans="1:8" s="131" customFormat="1" ht="15">
      <c r="A111" s="14" t="s">
        <v>548</v>
      </c>
      <c r="B111" s="88" t="s">
        <v>260</v>
      </c>
      <c r="C111" s="282" t="s">
        <v>435</v>
      </c>
      <c r="D111" s="277" t="s">
        <v>487</v>
      </c>
      <c r="E111" s="274">
        <f>'MEMORIAL DE CALCULO GERAL'!E102</f>
        <v>10.8</v>
      </c>
      <c r="F111" s="278"/>
      <c r="G111" s="295">
        <f>E111*F111</f>
        <v>0</v>
      </c>
      <c r="H111" s="280">
        <f>ROUND(G111*0.2418+G111,2)</f>
        <v>0</v>
      </c>
    </row>
    <row r="112" spans="1:8" s="12" customFormat="1" ht="15">
      <c r="A112" s="14" t="s">
        <v>323</v>
      </c>
      <c r="B112" s="88" t="s">
        <v>61</v>
      </c>
      <c r="C112" s="282" t="s">
        <v>257</v>
      </c>
      <c r="D112" s="277" t="s">
        <v>487</v>
      </c>
      <c r="E112" s="274">
        <f>'MEMORIAL DE CALCULO GERAL'!E103</f>
        <v>18.239999999999998</v>
      </c>
      <c r="F112" s="278"/>
      <c r="G112" s="295">
        <f t="shared" si="8"/>
        <v>0</v>
      </c>
      <c r="H112" s="280">
        <f t="shared" si="9"/>
        <v>0</v>
      </c>
    </row>
    <row r="113" spans="1:8" s="12" customFormat="1" ht="15">
      <c r="A113" s="14" t="s">
        <v>322</v>
      </c>
      <c r="B113" s="88" t="s">
        <v>256</v>
      </c>
      <c r="C113" s="282" t="s">
        <v>436</v>
      </c>
      <c r="D113" s="277" t="s">
        <v>487</v>
      </c>
      <c r="E113" s="274">
        <f>'MEMORIAL DE CALCULO GERAL'!E104</f>
        <v>3.1</v>
      </c>
      <c r="F113" s="278"/>
      <c r="G113" s="295">
        <f t="shared" si="8"/>
        <v>0</v>
      </c>
      <c r="H113" s="280">
        <f t="shared" si="9"/>
        <v>0</v>
      </c>
    </row>
    <row r="114" spans="1:8" s="12" customFormat="1" ht="15">
      <c r="A114" s="14" t="s">
        <v>321</v>
      </c>
      <c r="B114" s="88" t="s">
        <v>255</v>
      </c>
      <c r="C114" s="282" t="s">
        <v>254</v>
      </c>
      <c r="D114" s="277" t="s">
        <v>486</v>
      </c>
      <c r="E114" s="274">
        <f>'MEMORIAL DE CALCULO GERAL'!E105</f>
        <v>2</v>
      </c>
      <c r="F114" s="278"/>
      <c r="G114" s="295">
        <f t="shared" si="8"/>
        <v>0</v>
      </c>
      <c r="H114" s="280">
        <f t="shared" si="9"/>
        <v>0</v>
      </c>
    </row>
    <row r="115" spans="1:8" s="12" customFormat="1" ht="15">
      <c r="A115" s="14" t="s">
        <v>595</v>
      </c>
      <c r="B115" s="88" t="s">
        <v>253</v>
      </c>
      <c r="C115" s="282" t="s">
        <v>252</v>
      </c>
      <c r="D115" s="277" t="s">
        <v>486</v>
      </c>
      <c r="E115" s="274">
        <f>'MEMORIAL DE CALCULO GERAL'!E106</f>
        <v>2</v>
      </c>
      <c r="F115" s="278"/>
      <c r="G115" s="295">
        <f t="shared" si="8"/>
        <v>0</v>
      </c>
      <c r="H115" s="280">
        <f t="shared" si="9"/>
        <v>0</v>
      </c>
    </row>
    <row r="116" spans="1:8" s="12" customFormat="1" ht="42.75">
      <c r="A116" s="14" t="s">
        <v>691</v>
      </c>
      <c r="B116" s="88" t="s">
        <v>519</v>
      </c>
      <c r="C116" s="282" t="s">
        <v>520</v>
      </c>
      <c r="D116" s="277" t="s">
        <v>489</v>
      </c>
      <c r="E116" s="274">
        <f>'MEMORIAL DE CALCULO GERAL'!E107</f>
        <v>19.350000000000001</v>
      </c>
      <c r="F116" s="278"/>
      <c r="G116" s="295">
        <f t="shared" si="8"/>
        <v>0</v>
      </c>
      <c r="H116" s="280">
        <f t="shared" si="9"/>
        <v>0</v>
      </c>
    </row>
    <row r="117" spans="1:8" s="12" customFormat="1" ht="15">
      <c r="A117" s="72"/>
      <c r="B117" s="21"/>
      <c r="C117" s="283" t="s">
        <v>7</v>
      </c>
      <c r="D117" s="277"/>
      <c r="E117" s="274">
        <f>'MEMORIAL DE CALCULO GERAL'!E108</f>
        <v>0</v>
      </c>
      <c r="F117" s="291"/>
      <c r="G117" s="284">
        <f>SUM(G103:G116)</f>
        <v>0</v>
      </c>
      <c r="H117" s="285">
        <f>ROUND(SUM(H103:H116),2)</f>
        <v>0</v>
      </c>
    </row>
    <row r="118" spans="1:8" s="12" customFormat="1" ht="15">
      <c r="A118" s="72"/>
      <c r="B118" s="21"/>
      <c r="C118" s="283"/>
      <c r="D118" s="277"/>
      <c r="E118" s="274">
        <f>'MEMORIAL DE CALCULO GERAL'!E109</f>
        <v>0</v>
      </c>
      <c r="F118" s="291"/>
      <c r="G118" s="284"/>
      <c r="H118" s="285"/>
    </row>
    <row r="119" spans="1:8" s="12" customFormat="1" ht="15">
      <c r="A119" s="14" t="s">
        <v>549</v>
      </c>
      <c r="B119" s="19"/>
      <c r="C119" s="283" t="s">
        <v>496</v>
      </c>
      <c r="D119" s="290"/>
      <c r="E119" s="274">
        <f>'MEMORIAL DE CALCULO GERAL'!E110</f>
        <v>0</v>
      </c>
      <c r="F119" s="291"/>
      <c r="G119" s="295"/>
      <c r="H119" s="280"/>
    </row>
    <row r="120" spans="1:8" s="12" customFormat="1" ht="28.5">
      <c r="A120" s="14" t="s">
        <v>28</v>
      </c>
      <c r="B120" s="19" t="s">
        <v>251</v>
      </c>
      <c r="C120" s="282" t="s">
        <v>250</v>
      </c>
      <c r="D120" s="277" t="s">
        <v>486</v>
      </c>
      <c r="E120" s="274">
        <f>'MEMORIAL DE CALCULO GERAL'!E111</f>
        <v>2</v>
      </c>
      <c r="F120" s="278"/>
      <c r="G120" s="295">
        <f>E120*F120</f>
        <v>0</v>
      </c>
      <c r="H120" s="280">
        <f>ROUND(G120*0.2418+G120,2)</f>
        <v>0</v>
      </c>
    </row>
    <row r="121" spans="1:8" s="12" customFormat="1" ht="15">
      <c r="A121" s="14" t="s">
        <v>320</v>
      </c>
      <c r="B121" s="19" t="s">
        <v>247</v>
      </c>
      <c r="C121" s="282" t="s">
        <v>246</v>
      </c>
      <c r="D121" s="277" t="s">
        <v>486</v>
      </c>
      <c r="E121" s="274">
        <f>'MEMORIAL DE CALCULO GERAL'!E112</f>
        <v>12</v>
      </c>
      <c r="F121" s="278"/>
      <c r="G121" s="295">
        <f>E121*F121</f>
        <v>0</v>
      </c>
      <c r="H121" s="280">
        <f>ROUND(G121*0.2418+G121,2)</f>
        <v>0</v>
      </c>
    </row>
    <row r="122" spans="1:8" s="12" customFormat="1" ht="15">
      <c r="A122" s="14" t="s">
        <v>319</v>
      </c>
      <c r="B122" s="19" t="s">
        <v>245</v>
      </c>
      <c r="C122" s="282" t="s">
        <v>244</v>
      </c>
      <c r="D122" s="277" t="s">
        <v>486</v>
      </c>
      <c r="E122" s="274">
        <f>'MEMORIAL DE CALCULO GERAL'!E113</f>
        <v>8</v>
      </c>
      <c r="F122" s="278"/>
      <c r="G122" s="295">
        <f>E122*F122</f>
        <v>0</v>
      </c>
      <c r="H122" s="280">
        <f>ROUND(G122*0.2418+G122,2)</f>
        <v>0</v>
      </c>
    </row>
    <row r="123" spans="1:8" s="12" customFormat="1" ht="15">
      <c r="A123" s="14" t="s">
        <v>653</v>
      </c>
      <c r="B123" s="19" t="s">
        <v>243</v>
      </c>
      <c r="C123" s="282" t="s">
        <v>242</v>
      </c>
      <c r="D123" s="277" t="s">
        <v>486</v>
      </c>
      <c r="E123" s="274">
        <f>'MEMORIAL DE CALCULO GERAL'!E114</f>
        <v>4</v>
      </c>
      <c r="F123" s="278"/>
      <c r="G123" s="295">
        <f>E123*F123</f>
        <v>0</v>
      </c>
      <c r="H123" s="280">
        <f>ROUND(G123*0.2418+G123,2)</f>
        <v>0</v>
      </c>
    </row>
    <row r="124" spans="1:8" s="12" customFormat="1" ht="15">
      <c r="A124" s="72"/>
      <c r="B124" s="21"/>
      <c r="C124" s="283" t="s">
        <v>7</v>
      </c>
      <c r="D124" s="277"/>
      <c r="E124" s="274">
        <f>'MEMORIAL DE CALCULO GERAL'!E115</f>
        <v>0</v>
      </c>
      <c r="F124" s="291"/>
      <c r="G124" s="284">
        <f>SUM(G120:G123)</f>
        <v>0</v>
      </c>
      <c r="H124" s="285">
        <f>ROUND(SUM(H120:H123),2)</f>
        <v>0</v>
      </c>
    </row>
    <row r="125" spans="1:8" s="12" customFormat="1" ht="15">
      <c r="A125" s="72"/>
      <c r="B125" s="21"/>
      <c r="C125" s="283"/>
      <c r="D125" s="277"/>
      <c r="E125" s="274">
        <f>'MEMORIAL DE CALCULO GERAL'!E116</f>
        <v>0</v>
      </c>
      <c r="F125" s="291"/>
      <c r="G125" s="284"/>
      <c r="H125" s="285"/>
    </row>
    <row r="126" spans="1:8" s="12" customFormat="1" ht="15">
      <c r="A126" s="72" t="s">
        <v>550</v>
      </c>
      <c r="B126" s="19"/>
      <c r="C126" s="283" t="s">
        <v>82</v>
      </c>
      <c r="D126" s="277"/>
      <c r="E126" s="274">
        <f>'MEMORIAL DE CALCULO GERAL'!E117</f>
        <v>0</v>
      </c>
      <c r="F126" s="291"/>
      <c r="G126" s="279"/>
      <c r="H126" s="280"/>
    </row>
    <row r="127" spans="1:8" s="12" customFormat="1" ht="15">
      <c r="A127" s="72" t="s">
        <v>29</v>
      </c>
      <c r="B127" s="19" t="s">
        <v>234</v>
      </c>
      <c r="C127" s="282" t="s">
        <v>233</v>
      </c>
      <c r="D127" s="277" t="s">
        <v>487</v>
      </c>
      <c r="E127" s="274">
        <f>'MEMORIAL DE CALCULO GERAL'!E118</f>
        <v>295.73</v>
      </c>
      <c r="F127" s="278"/>
      <c r="G127" s="279">
        <f t="shared" ref="G127:G132" si="10">E127*F127</f>
        <v>0</v>
      </c>
      <c r="H127" s="280">
        <f t="shared" ref="H127:H132" si="11">ROUND(G127*0.2418+G127,2)</f>
        <v>0</v>
      </c>
    </row>
    <row r="128" spans="1:8" s="12" customFormat="1" ht="15">
      <c r="A128" s="72" t="s">
        <v>32</v>
      </c>
      <c r="B128" s="19" t="s">
        <v>64</v>
      </c>
      <c r="C128" s="282" t="s">
        <v>232</v>
      </c>
      <c r="D128" s="277" t="s">
        <v>487</v>
      </c>
      <c r="E128" s="274">
        <f>'MEMORIAL DE CALCULO GERAL'!E119</f>
        <v>832.15000000000009</v>
      </c>
      <c r="F128" s="278"/>
      <c r="G128" s="279">
        <f t="shared" si="10"/>
        <v>0</v>
      </c>
      <c r="H128" s="280">
        <f t="shared" si="11"/>
        <v>0</v>
      </c>
    </row>
    <row r="129" spans="1:8" s="12" customFormat="1" ht="15">
      <c r="A129" s="72" t="s">
        <v>551</v>
      </c>
      <c r="B129" s="19" t="s">
        <v>442</v>
      </c>
      <c r="C129" s="282" t="s">
        <v>443</v>
      </c>
      <c r="D129" s="277" t="s">
        <v>487</v>
      </c>
      <c r="E129" s="274">
        <f>'MEMORIAL DE CALCULO GERAL'!E120</f>
        <v>295.73</v>
      </c>
      <c r="F129" s="278"/>
      <c r="G129" s="279">
        <f t="shared" si="10"/>
        <v>0</v>
      </c>
      <c r="H129" s="280">
        <f t="shared" si="11"/>
        <v>0</v>
      </c>
    </row>
    <row r="130" spans="1:8" s="12" customFormat="1" ht="15">
      <c r="A130" s="72" t="s">
        <v>316</v>
      </c>
      <c r="B130" s="19" t="s">
        <v>65</v>
      </c>
      <c r="C130" s="282" t="s">
        <v>231</v>
      </c>
      <c r="D130" s="277" t="s">
        <v>487</v>
      </c>
      <c r="E130" s="274">
        <f>'MEMORIAL DE CALCULO GERAL'!E121</f>
        <v>158.44</v>
      </c>
      <c r="F130" s="278"/>
      <c r="G130" s="279">
        <f t="shared" si="10"/>
        <v>0</v>
      </c>
      <c r="H130" s="280">
        <f t="shared" si="11"/>
        <v>0</v>
      </c>
    </row>
    <row r="131" spans="1:8" s="12" customFormat="1" ht="15">
      <c r="A131" s="72" t="s">
        <v>659</v>
      </c>
      <c r="B131" s="19" t="s">
        <v>444</v>
      </c>
      <c r="C131" s="282" t="s">
        <v>445</v>
      </c>
      <c r="D131" s="277" t="s">
        <v>487</v>
      </c>
      <c r="E131" s="274">
        <f>'MEMORIAL DE CALCULO GERAL'!E122</f>
        <v>1028.8</v>
      </c>
      <c r="F131" s="278"/>
      <c r="G131" s="279">
        <f t="shared" si="10"/>
        <v>0</v>
      </c>
      <c r="H131" s="280">
        <f t="shared" si="11"/>
        <v>0</v>
      </c>
    </row>
    <row r="132" spans="1:8" s="12" customFormat="1" ht="15">
      <c r="A132" s="72" t="s">
        <v>777</v>
      </c>
      <c r="B132" s="19" t="s">
        <v>446</v>
      </c>
      <c r="C132" s="282" t="s">
        <v>447</v>
      </c>
      <c r="D132" s="277" t="s">
        <v>487</v>
      </c>
      <c r="E132" s="274">
        <f>'MEMORIAL DE CALCULO GERAL'!E123</f>
        <v>496.71</v>
      </c>
      <c r="F132" s="278"/>
      <c r="G132" s="279">
        <f t="shared" si="10"/>
        <v>0</v>
      </c>
      <c r="H132" s="280">
        <f t="shared" si="11"/>
        <v>0</v>
      </c>
    </row>
    <row r="133" spans="1:8" s="12" customFormat="1" ht="15">
      <c r="A133" s="72"/>
      <c r="B133" s="18"/>
      <c r="C133" s="283" t="s">
        <v>7</v>
      </c>
      <c r="D133" s="277"/>
      <c r="E133" s="274">
        <f>'MEMORIAL DE CALCULO GERAL'!E124</f>
        <v>0</v>
      </c>
      <c r="F133" s="291"/>
      <c r="G133" s="284">
        <f>SUM(G127:G132)</f>
        <v>0</v>
      </c>
      <c r="H133" s="285">
        <f>ROUND(SUM(H127:H132),2)</f>
        <v>0</v>
      </c>
    </row>
    <row r="134" spans="1:8" s="12" customFormat="1" ht="15">
      <c r="A134" s="72"/>
      <c r="B134" s="18"/>
      <c r="C134" s="283"/>
      <c r="D134" s="277"/>
      <c r="E134" s="274">
        <f>'MEMORIAL DE CALCULO GERAL'!E125</f>
        <v>0</v>
      </c>
      <c r="F134" s="291"/>
      <c r="G134" s="284"/>
      <c r="H134" s="285"/>
    </row>
    <row r="135" spans="1:8" s="12" customFormat="1" ht="15">
      <c r="A135" s="72" t="s">
        <v>552</v>
      </c>
      <c r="B135" s="19"/>
      <c r="C135" s="283" t="s">
        <v>596</v>
      </c>
      <c r="D135" s="277"/>
      <c r="E135" s="274">
        <f>'MEMORIAL DE CALCULO GERAL'!E126</f>
        <v>0</v>
      </c>
      <c r="F135" s="291"/>
      <c r="G135" s="284"/>
      <c r="H135" s="285"/>
    </row>
    <row r="136" spans="1:8" s="12" customFormat="1" ht="28.5">
      <c r="A136" s="72" t="s">
        <v>33</v>
      </c>
      <c r="B136" s="19" t="s">
        <v>228</v>
      </c>
      <c r="C136" s="282" t="s">
        <v>227</v>
      </c>
      <c r="D136" s="277" t="s">
        <v>486</v>
      </c>
      <c r="E136" s="274">
        <f>'MEMORIAL DE CALCULO GERAL'!E127</f>
        <v>1</v>
      </c>
      <c r="F136" s="278"/>
      <c r="G136" s="279">
        <f t="shared" ref="G136:G153" si="12">E136*F136</f>
        <v>0</v>
      </c>
      <c r="H136" s="280">
        <f t="shared" ref="H136:H153" si="13">ROUND(G136*0.2418+G136,2)</f>
        <v>0</v>
      </c>
    </row>
    <row r="137" spans="1:8" s="12" customFormat="1" ht="15">
      <c r="A137" s="72" t="s">
        <v>35</v>
      </c>
      <c r="B137" s="18" t="s">
        <v>226</v>
      </c>
      <c r="C137" s="282" t="s">
        <v>225</v>
      </c>
      <c r="D137" s="277" t="s">
        <v>486</v>
      </c>
      <c r="E137" s="274">
        <f>'MEMORIAL DE CALCULO GERAL'!E128</f>
        <v>32</v>
      </c>
      <c r="F137" s="278"/>
      <c r="G137" s="279">
        <f t="shared" si="12"/>
        <v>0</v>
      </c>
      <c r="H137" s="280">
        <f t="shared" si="13"/>
        <v>0</v>
      </c>
    </row>
    <row r="138" spans="1:8" s="12" customFormat="1" ht="15">
      <c r="A138" s="72" t="s">
        <v>553</v>
      </c>
      <c r="B138" s="18" t="s">
        <v>224</v>
      </c>
      <c r="C138" s="282" t="s">
        <v>223</v>
      </c>
      <c r="D138" s="277" t="s">
        <v>486</v>
      </c>
      <c r="E138" s="274">
        <f>'MEMORIAL DE CALCULO GERAL'!E129</f>
        <v>1</v>
      </c>
      <c r="F138" s="278"/>
      <c r="G138" s="279">
        <f>E138*F138</f>
        <v>0</v>
      </c>
      <c r="H138" s="280">
        <f>ROUND(G138*0.2418+G138,2)</f>
        <v>0</v>
      </c>
    </row>
    <row r="139" spans="1:8" s="12" customFormat="1" ht="28.5">
      <c r="A139" s="72" t="s">
        <v>554</v>
      </c>
      <c r="B139" s="18" t="s">
        <v>448</v>
      </c>
      <c r="C139" s="282" t="s">
        <v>449</v>
      </c>
      <c r="D139" s="277" t="s">
        <v>486</v>
      </c>
      <c r="E139" s="274">
        <f>'MEMORIAL DE CALCULO GERAL'!E130</f>
        <v>4</v>
      </c>
      <c r="F139" s="278"/>
      <c r="G139" s="279">
        <f t="shared" si="12"/>
        <v>0</v>
      </c>
      <c r="H139" s="280">
        <f t="shared" si="13"/>
        <v>0</v>
      </c>
    </row>
    <row r="140" spans="1:8" s="12" customFormat="1" ht="15">
      <c r="A140" s="72" t="s">
        <v>555</v>
      </c>
      <c r="B140" s="18" t="s">
        <v>222</v>
      </c>
      <c r="C140" s="282" t="s">
        <v>221</v>
      </c>
      <c r="D140" s="277" t="s">
        <v>486</v>
      </c>
      <c r="E140" s="274">
        <f>'MEMORIAL DE CALCULO GERAL'!E131</f>
        <v>1</v>
      </c>
      <c r="F140" s="278"/>
      <c r="G140" s="279">
        <f>E140*F140</f>
        <v>0</v>
      </c>
      <c r="H140" s="280">
        <f>ROUND(G140*0.2418+G140,2)</f>
        <v>0</v>
      </c>
    </row>
    <row r="141" spans="1:8" s="12" customFormat="1" ht="15">
      <c r="A141" s="72" t="s">
        <v>556</v>
      </c>
      <c r="B141" s="18" t="s">
        <v>220</v>
      </c>
      <c r="C141" s="282" t="s">
        <v>219</v>
      </c>
      <c r="D141" s="277" t="s">
        <v>489</v>
      </c>
      <c r="E141" s="274">
        <f>'MEMORIAL DE CALCULO GERAL'!E132</f>
        <v>331.9</v>
      </c>
      <c r="F141" s="278"/>
      <c r="G141" s="279">
        <f t="shared" si="12"/>
        <v>0</v>
      </c>
      <c r="H141" s="280">
        <f t="shared" si="13"/>
        <v>0</v>
      </c>
    </row>
    <row r="142" spans="1:8" s="12" customFormat="1" ht="15">
      <c r="A142" s="72" t="s">
        <v>557</v>
      </c>
      <c r="B142" s="18" t="s">
        <v>66</v>
      </c>
      <c r="C142" s="282" t="s">
        <v>218</v>
      </c>
      <c r="D142" s="277" t="s">
        <v>489</v>
      </c>
      <c r="E142" s="274">
        <f>'MEMORIAL DE CALCULO GERAL'!E133</f>
        <v>85.8</v>
      </c>
      <c r="F142" s="278"/>
      <c r="G142" s="279">
        <f t="shared" si="12"/>
        <v>0</v>
      </c>
      <c r="H142" s="280">
        <f t="shared" si="13"/>
        <v>0</v>
      </c>
    </row>
    <row r="143" spans="1:8" s="12" customFormat="1" ht="15">
      <c r="A143" s="72" t="s">
        <v>558</v>
      </c>
      <c r="B143" s="18" t="s">
        <v>217</v>
      </c>
      <c r="C143" s="282" t="s">
        <v>216</v>
      </c>
      <c r="D143" s="277" t="s">
        <v>489</v>
      </c>
      <c r="E143" s="274">
        <f>'MEMORIAL DE CALCULO GERAL'!E134</f>
        <v>24.4</v>
      </c>
      <c r="F143" s="278"/>
      <c r="G143" s="279">
        <f t="shared" si="12"/>
        <v>0</v>
      </c>
      <c r="H143" s="280">
        <f t="shared" si="13"/>
        <v>0</v>
      </c>
    </row>
    <row r="144" spans="1:8" s="12" customFormat="1" ht="15">
      <c r="A144" s="72" t="s">
        <v>559</v>
      </c>
      <c r="B144" s="18" t="s">
        <v>215</v>
      </c>
      <c r="C144" s="282" t="s">
        <v>214</v>
      </c>
      <c r="D144" s="277" t="s">
        <v>489</v>
      </c>
      <c r="E144" s="274">
        <f>'MEMORIAL DE CALCULO GERAL'!E135</f>
        <v>35.200000000000003</v>
      </c>
      <c r="F144" s="278"/>
      <c r="G144" s="279">
        <f>E144*F144</f>
        <v>0</v>
      </c>
      <c r="H144" s="280">
        <f>ROUND(G144*0.2418+G144,2)</f>
        <v>0</v>
      </c>
    </row>
    <row r="145" spans="1:8" s="12" customFormat="1" ht="15">
      <c r="A145" s="72" t="s">
        <v>560</v>
      </c>
      <c r="B145" s="18" t="s">
        <v>213</v>
      </c>
      <c r="C145" s="282" t="s">
        <v>212</v>
      </c>
      <c r="D145" s="277" t="s">
        <v>489</v>
      </c>
      <c r="E145" s="274">
        <f>'MEMORIAL DE CALCULO GERAL'!E136</f>
        <v>25.9</v>
      </c>
      <c r="F145" s="278"/>
      <c r="G145" s="279">
        <f>E145*F145</f>
        <v>0</v>
      </c>
      <c r="H145" s="280">
        <f>ROUND(G145*0.2418+G145,2)</f>
        <v>0</v>
      </c>
    </row>
    <row r="146" spans="1:8" s="12" customFormat="1" ht="15">
      <c r="A146" s="72" t="s">
        <v>561</v>
      </c>
      <c r="B146" s="18" t="s">
        <v>211</v>
      </c>
      <c r="C146" s="282" t="s">
        <v>210</v>
      </c>
      <c r="D146" s="277" t="s">
        <v>489</v>
      </c>
      <c r="E146" s="274">
        <f>'MEMORIAL DE CALCULO GERAL'!E137</f>
        <v>15.1</v>
      </c>
      <c r="F146" s="278"/>
      <c r="G146" s="279">
        <f>E146*F146</f>
        <v>0</v>
      </c>
      <c r="H146" s="280">
        <f>ROUND(G146*0.2418+G146,2)</f>
        <v>0</v>
      </c>
    </row>
    <row r="147" spans="1:8" s="12" customFormat="1" ht="15">
      <c r="A147" s="72" t="s">
        <v>562</v>
      </c>
      <c r="B147" s="18" t="s">
        <v>209</v>
      </c>
      <c r="C147" s="282" t="s">
        <v>208</v>
      </c>
      <c r="D147" s="277" t="s">
        <v>489</v>
      </c>
      <c r="E147" s="274">
        <f>'MEMORIAL DE CALCULO GERAL'!E138</f>
        <v>38.799999999999997</v>
      </c>
      <c r="F147" s="278"/>
      <c r="G147" s="279">
        <f t="shared" si="12"/>
        <v>0</v>
      </c>
      <c r="H147" s="280">
        <f t="shared" si="13"/>
        <v>0</v>
      </c>
    </row>
    <row r="148" spans="1:8" s="12" customFormat="1" ht="15">
      <c r="A148" s="72" t="s">
        <v>597</v>
      </c>
      <c r="B148" s="18" t="s">
        <v>67</v>
      </c>
      <c r="C148" s="282" t="s">
        <v>207</v>
      </c>
      <c r="D148" s="277" t="s">
        <v>489</v>
      </c>
      <c r="E148" s="274">
        <f>'MEMORIAL DE CALCULO GERAL'!E139</f>
        <v>41.3</v>
      </c>
      <c r="F148" s="278"/>
      <c r="G148" s="279">
        <f>E148*F148</f>
        <v>0</v>
      </c>
      <c r="H148" s="280">
        <f>ROUND(G148*0.2418+G148,2)</f>
        <v>0</v>
      </c>
    </row>
    <row r="149" spans="1:8" s="12" customFormat="1" ht="15">
      <c r="A149" s="72" t="s">
        <v>598</v>
      </c>
      <c r="B149" s="18" t="s">
        <v>206</v>
      </c>
      <c r="C149" s="282" t="s">
        <v>205</v>
      </c>
      <c r="D149" s="277" t="s">
        <v>489</v>
      </c>
      <c r="E149" s="274">
        <f>'MEMORIAL DE CALCULO GERAL'!E140</f>
        <v>9.8000000000000007</v>
      </c>
      <c r="F149" s="278"/>
      <c r="G149" s="279">
        <f>E149*F149</f>
        <v>0</v>
      </c>
      <c r="H149" s="280">
        <f>ROUND(G149*0.2418+G149,2)</f>
        <v>0</v>
      </c>
    </row>
    <row r="150" spans="1:8" s="12" customFormat="1" ht="15">
      <c r="A150" s="72" t="s">
        <v>599</v>
      </c>
      <c r="B150" s="18" t="s">
        <v>204</v>
      </c>
      <c r="C150" s="282" t="s">
        <v>203</v>
      </c>
      <c r="D150" s="277" t="s">
        <v>489</v>
      </c>
      <c r="E150" s="274">
        <f>'MEMORIAL DE CALCULO GERAL'!E141</f>
        <v>119.1</v>
      </c>
      <c r="F150" s="278"/>
      <c r="G150" s="279">
        <f t="shared" si="12"/>
        <v>0</v>
      </c>
      <c r="H150" s="280">
        <f t="shared" si="13"/>
        <v>0</v>
      </c>
    </row>
    <row r="151" spans="1:8" s="12" customFormat="1" ht="15">
      <c r="A151" s="72" t="s">
        <v>600</v>
      </c>
      <c r="B151" s="18" t="s">
        <v>202</v>
      </c>
      <c r="C151" s="282" t="s">
        <v>201</v>
      </c>
      <c r="D151" s="277" t="s">
        <v>489</v>
      </c>
      <c r="E151" s="274">
        <f>'MEMORIAL DE CALCULO GERAL'!E142</f>
        <v>1786.5</v>
      </c>
      <c r="F151" s="278"/>
      <c r="G151" s="279">
        <f t="shared" si="12"/>
        <v>0</v>
      </c>
      <c r="H151" s="280">
        <f t="shared" si="13"/>
        <v>0</v>
      </c>
    </row>
    <row r="152" spans="1:8" s="12" customFormat="1" ht="15">
      <c r="A152" s="72" t="s">
        <v>601</v>
      </c>
      <c r="B152" s="18" t="s">
        <v>200</v>
      </c>
      <c r="C152" s="282" t="s">
        <v>199</v>
      </c>
      <c r="D152" s="277" t="s">
        <v>489</v>
      </c>
      <c r="E152" s="274">
        <f>'MEMORIAL DE CALCULO GERAL'!E143</f>
        <v>847.9</v>
      </c>
      <c r="F152" s="278"/>
      <c r="G152" s="279">
        <f t="shared" si="12"/>
        <v>0</v>
      </c>
      <c r="H152" s="280">
        <f t="shared" si="13"/>
        <v>0</v>
      </c>
    </row>
    <row r="153" spans="1:8" s="12" customFormat="1" ht="15">
      <c r="A153" s="72" t="s">
        <v>602</v>
      </c>
      <c r="B153" s="18" t="s">
        <v>198</v>
      </c>
      <c r="C153" s="282" t="s">
        <v>197</v>
      </c>
      <c r="D153" s="277" t="s">
        <v>489</v>
      </c>
      <c r="E153" s="274">
        <f>'MEMORIAL DE CALCULO GERAL'!E144</f>
        <v>443.3</v>
      </c>
      <c r="F153" s="278"/>
      <c r="G153" s="279">
        <f t="shared" si="12"/>
        <v>0</v>
      </c>
      <c r="H153" s="280">
        <f t="shared" si="13"/>
        <v>0</v>
      </c>
    </row>
    <row r="154" spans="1:8" s="12" customFormat="1" ht="15">
      <c r="A154" s="72" t="s">
        <v>603</v>
      </c>
      <c r="B154" s="18" t="s">
        <v>196</v>
      </c>
      <c r="C154" s="282" t="s">
        <v>195</v>
      </c>
      <c r="D154" s="277" t="s">
        <v>489</v>
      </c>
      <c r="E154" s="274">
        <f>'MEMORIAL DE CALCULO GERAL'!E145</f>
        <v>64.599999999999994</v>
      </c>
      <c r="F154" s="278"/>
      <c r="G154" s="279">
        <f>E154*F154</f>
        <v>0</v>
      </c>
      <c r="H154" s="280">
        <f>ROUND(G154*0.2418+G154,2)</f>
        <v>0</v>
      </c>
    </row>
    <row r="155" spans="1:8" s="12" customFormat="1" ht="15">
      <c r="A155" s="72" t="s">
        <v>604</v>
      </c>
      <c r="B155" s="18" t="s">
        <v>194</v>
      </c>
      <c r="C155" s="282" t="s">
        <v>193</v>
      </c>
      <c r="D155" s="277" t="s">
        <v>489</v>
      </c>
      <c r="E155" s="274">
        <f>'MEMORIAL DE CALCULO GERAL'!E146</f>
        <v>18.100000000000001</v>
      </c>
      <c r="F155" s="278"/>
      <c r="G155" s="279">
        <f>E155*F155</f>
        <v>0</v>
      </c>
      <c r="H155" s="280">
        <f>ROUND(G155*0.2418+G155,2)</f>
        <v>0</v>
      </c>
    </row>
    <row r="156" spans="1:8" s="12" customFormat="1" ht="15">
      <c r="A156" s="72" t="s">
        <v>605</v>
      </c>
      <c r="B156" s="18" t="s">
        <v>68</v>
      </c>
      <c r="C156" s="282" t="s">
        <v>192</v>
      </c>
      <c r="D156" s="277" t="s">
        <v>486</v>
      </c>
      <c r="E156" s="274">
        <f>'MEMORIAL DE CALCULO GERAL'!E147</f>
        <v>51</v>
      </c>
      <c r="F156" s="278"/>
      <c r="G156" s="279">
        <f>E156*F156</f>
        <v>0</v>
      </c>
      <c r="H156" s="280">
        <f>ROUND(G156*0.2418+G156,2)</f>
        <v>0</v>
      </c>
    </row>
    <row r="157" spans="1:8" s="12" customFormat="1" ht="15">
      <c r="A157" s="72" t="s">
        <v>606</v>
      </c>
      <c r="B157" s="18" t="s">
        <v>179</v>
      </c>
      <c r="C157" s="282" t="s">
        <v>178</v>
      </c>
      <c r="D157" s="277" t="s">
        <v>486</v>
      </c>
      <c r="E157" s="274">
        <f>'MEMORIAL DE CALCULO GERAL'!E148</f>
        <v>63</v>
      </c>
      <c r="F157" s="278"/>
      <c r="G157" s="279">
        <f>E157*F157</f>
        <v>0</v>
      </c>
      <c r="H157" s="280">
        <f>ROUND(G157*0.2418+G157,2)</f>
        <v>0</v>
      </c>
    </row>
    <row r="158" spans="1:8" s="12" customFormat="1" ht="15">
      <c r="A158" s="72" t="s">
        <v>607</v>
      </c>
      <c r="B158" s="18" t="s">
        <v>191</v>
      </c>
      <c r="C158" s="282" t="s">
        <v>190</v>
      </c>
      <c r="D158" s="277" t="s">
        <v>486</v>
      </c>
      <c r="E158" s="274">
        <f>'MEMORIAL DE CALCULO GERAL'!E149</f>
        <v>71</v>
      </c>
      <c r="F158" s="278"/>
      <c r="G158" s="279">
        <f>E158*F158</f>
        <v>0</v>
      </c>
      <c r="H158" s="280">
        <f>ROUND(G158*0.2418+G158,2)</f>
        <v>0</v>
      </c>
    </row>
    <row r="159" spans="1:8" s="12" customFormat="1" ht="15">
      <c r="A159" s="72" t="s">
        <v>627</v>
      </c>
      <c r="B159" s="18" t="s">
        <v>69</v>
      </c>
      <c r="C159" s="282" t="s">
        <v>189</v>
      </c>
      <c r="D159" s="277" t="s">
        <v>491</v>
      </c>
      <c r="E159" s="274">
        <f>'MEMORIAL DE CALCULO GERAL'!E150</f>
        <v>21</v>
      </c>
      <c r="F159" s="278"/>
      <c r="G159" s="279">
        <f t="shared" ref="G159:G164" si="14">E159*F159</f>
        <v>0</v>
      </c>
      <c r="H159" s="280">
        <f t="shared" ref="H159:H164" si="15">ROUND(G159*0.2418+G159,2)</f>
        <v>0</v>
      </c>
    </row>
    <row r="160" spans="1:8" s="12" customFormat="1" ht="15">
      <c r="A160" s="72" t="s">
        <v>628</v>
      </c>
      <c r="B160" s="18" t="s">
        <v>188</v>
      </c>
      <c r="C160" s="282" t="s">
        <v>187</v>
      </c>
      <c r="D160" s="277" t="s">
        <v>491</v>
      </c>
      <c r="E160" s="274">
        <f>'MEMORIAL DE CALCULO GERAL'!E151</f>
        <v>4</v>
      </c>
      <c r="F160" s="278"/>
      <c r="G160" s="279">
        <f t="shared" si="14"/>
        <v>0</v>
      </c>
      <c r="H160" s="280">
        <f t="shared" si="15"/>
        <v>0</v>
      </c>
    </row>
    <row r="161" spans="1:8" s="12" customFormat="1" ht="15">
      <c r="A161" s="72" t="s">
        <v>629</v>
      </c>
      <c r="B161" s="18" t="s">
        <v>70</v>
      </c>
      <c r="C161" s="282" t="s">
        <v>186</v>
      </c>
      <c r="D161" s="277" t="s">
        <v>491</v>
      </c>
      <c r="E161" s="274">
        <f>'MEMORIAL DE CALCULO GERAL'!E152</f>
        <v>16</v>
      </c>
      <c r="F161" s="278"/>
      <c r="G161" s="279">
        <f t="shared" si="14"/>
        <v>0</v>
      </c>
      <c r="H161" s="280">
        <f t="shared" si="15"/>
        <v>0</v>
      </c>
    </row>
    <row r="162" spans="1:8" s="12" customFormat="1" ht="15">
      <c r="A162" s="72" t="s">
        <v>630</v>
      </c>
      <c r="B162" s="18" t="s">
        <v>185</v>
      </c>
      <c r="C162" s="282" t="s">
        <v>184</v>
      </c>
      <c r="D162" s="277" t="s">
        <v>491</v>
      </c>
      <c r="E162" s="274">
        <f>'MEMORIAL DE CALCULO GERAL'!E153</f>
        <v>7</v>
      </c>
      <c r="F162" s="278"/>
      <c r="G162" s="279">
        <f t="shared" si="14"/>
        <v>0</v>
      </c>
      <c r="H162" s="280">
        <f t="shared" si="15"/>
        <v>0</v>
      </c>
    </row>
    <row r="163" spans="1:8" s="12" customFormat="1" ht="15">
      <c r="A163" s="72" t="s">
        <v>631</v>
      </c>
      <c r="B163" s="18" t="s">
        <v>183</v>
      </c>
      <c r="C163" s="282" t="s">
        <v>182</v>
      </c>
      <c r="D163" s="277" t="s">
        <v>491</v>
      </c>
      <c r="E163" s="274">
        <f>'MEMORIAL DE CALCULO GERAL'!E154</f>
        <v>1</v>
      </c>
      <c r="F163" s="278"/>
      <c r="G163" s="279">
        <f t="shared" si="14"/>
        <v>0</v>
      </c>
      <c r="H163" s="280">
        <f t="shared" si="15"/>
        <v>0</v>
      </c>
    </row>
    <row r="164" spans="1:8" s="12" customFormat="1" ht="15">
      <c r="A164" s="72" t="s">
        <v>632</v>
      </c>
      <c r="B164" s="18" t="s">
        <v>181</v>
      </c>
      <c r="C164" s="282" t="s">
        <v>180</v>
      </c>
      <c r="D164" s="277" t="s">
        <v>491</v>
      </c>
      <c r="E164" s="274">
        <f>'MEMORIAL DE CALCULO GERAL'!E155</f>
        <v>1</v>
      </c>
      <c r="F164" s="278"/>
      <c r="G164" s="279">
        <f t="shared" si="14"/>
        <v>0</v>
      </c>
      <c r="H164" s="280">
        <f t="shared" si="15"/>
        <v>0</v>
      </c>
    </row>
    <row r="165" spans="1:8" s="12" customFormat="1" ht="15">
      <c r="A165" s="72" t="s">
        <v>633</v>
      </c>
      <c r="B165" s="18" t="s">
        <v>451</v>
      </c>
      <c r="C165" s="282" t="s">
        <v>452</v>
      </c>
      <c r="D165" s="277" t="s">
        <v>486</v>
      </c>
      <c r="E165" s="274">
        <f>'MEMORIAL DE CALCULO GERAL'!E156</f>
        <v>12</v>
      </c>
      <c r="F165" s="278"/>
      <c r="G165" s="279">
        <f t="shared" ref="G165:G171" si="16">E165*F165</f>
        <v>0</v>
      </c>
      <c r="H165" s="280">
        <f t="shared" ref="H165:H171" si="17">ROUND(G165*0.2418+G165,2)</f>
        <v>0</v>
      </c>
    </row>
    <row r="166" spans="1:8" s="12" customFormat="1" ht="15">
      <c r="A166" s="72" t="s">
        <v>634</v>
      </c>
      <c r="B166" s="18" t="s">
        <v>453</v>
      </c>
      <c r="C166" s="282" t="s">
        <v>454</v>
      </c>
      <c r="D166" s="277" t="s">
        <v>486</v>
      </c>
      <c r="E166" s="274">
        <f>'MEMORIAL DE CALCULO GERAL'!E157</f>
        <v>12</v>
      </c>
      <c r="F166" s="278"/>
      <c r="G166" s="279">
        <f t="shared" si="16"/>
        <v>0</v>
      </c>
      <c r="H166" s="280">
        <f t="shared" si="17"/>
        <v>0</v>
      </c>
    </row>
    <row r="167" spans="1:8" s="12" customFormat="1" ht="28.5">
      <c r="A167" s="72" t="s">
        <v>635</v>
      </c>
      <c r="B167" s="18" t="s">
        <v>174</v>
      </c>
      <c r="C167" s="282" t="s">
        <v>497</v>
      </c>
      <c r="D167" s="277" t="s">
        <v>486</v>
      </c>
      <c r="E167" s="274">
        <f>'MEMORIAL DE CALCULO GERAL'!E158</f>
        <v>46</v>
      </c>
      <c r="F167" s="278"/>
      <c r="G167" s="279">
        <f t="shared" si="16"/>
        <v>0</v>
      </c>
      <c r="H167" s="280">
        <f t="shared" si="17"/>
        <v>0</v>
      </c>
    </row>
    <row r="168" spans="1:8" s="12" customFormat="1" ht="28.5">
      <c r="A168" s="72" t="s">
        <v>636</v>
      </c>
      <c r="B168" s="18" t="s">
        <v>455</v>
      </c>
      <c r="C168" s="282" t="s">
        <v>456</v>
      </c>
      <c r="D168" s="277" t="s">
        <v>486</v>
      </c>
      <c r="E168" s="274">
        <f>'MEMORIAL DE CALCULO GERAL'!E159</f>
        <v>5</v>
      </c>
      <c r="F168" s="278"/>
      <c r="G168" s="279">
        <f t="shared" si="16"/>
        <v>0</v>
      </c>
      <c r="H168" s="280">
        <f t="shared" si="17"/>
        <v>0</v>
      </c>
    </row>
    <row r="169" spans="1:8" s="12" customFormat="1" ht="15">
      <c r="A169" s="72" t="s">
        <v>648</v>
      </c>
      <c r="B169" s="18" t="s">
        <v>177</v>
      </c>
      <c r="C169" s="282" t="s">
        <v>176</v>
      </c>
      <c r="D169" s="277" t="s">
        <v>486</v>
      </c>
      <c r="E169" s="274">
        <f>'MEMORIAL DE CALCULO GERAL'!E160</f>
        <v>7</v>
      </c>
      <c r="F169" s="278"/>
      <c r="G169" s="279">
        <f t="shared" si="16"/>
        <v>0</v>
      </c>
      <c r="H169" s="280">
        <f t="shared" si="17"/>
        <v>0</v>
      </c>
    </row>
    <row r="170" spans="1:8" s="12" customFormat="1" ht="15">
      <c r="A170" s="72" t="s">
        <v>649</v>
      </c>
      <c r="B170" s="18" t="s">
        <v>175</v>
      </c>
      <c r="C170" s="282" t="s">
        <v>450</v>
      </c>
      <c r="D170" s="277" t="s">
        <v>486</v>
      </c>
      <c r="E170" s="274">
        <f>'MEMORIAL DE CALCULO GERAL'!E161</f>
        <v>7</v>
      </c>
      <c r="F170" s="278"/>
      <c r="G170" s="279">
        <f t="shared" si="16"/>
        <v>0</v>
      </c>
      <c r="H170" s="280">
        <f t="shared" si="17"/>
        <v>0</v>
      </c>
    </row>
    <row r="171" spans="1:8" s="12" customFormat="1" ht="28.5">
      <c r="A171" s="72" t="s">
        <v>651</v>
      </c>
      <c r="B171" s="18" t="s">
        <v>657</v>
      </c>
      <c r="C171" s="282" t="s">
        <v>658</v>
      </c>
      <c r="D171" s="277" t="s">
        <v>486</v>
      </c>
      <c r="E171" s="274">
        <f>'MEMORIAL DE CALCULO GERAL'!E162</f>
        <v>4</v>
      </c>
      <c r="F171" s="278"/>
      <c r="G171" s="279">
        <f t="shared" si="16"/>
        <v>0</v>
      </c>
      <c r="H171" s="280">
        <f t="shared" si="17"/>
        <v>0</v>
      </c>
    </row>
    <row r="172" spans="1:8" s="12" customFormat="1" ht="15">
      <c r="A172" s="72"/>
      <c r="B172" s="18"/>
      <c r="C172" s="283" t="s">
        <v>7</v>
      </c>
      <c r="D172" s="277"/>
      <c r="E172" s="274">
        <f>'MEMORIAL DE CALCULO GERAL'!E163</f>
        <v>0</v>
      </c>
      <c r="F172" s="291"/>
      <c r="G172" s="284">
        <f>SUM(G136:G171)</f>
        <v>0</v>
      </c>
      <c r="H172" s="285">
        <f>ROUND(SUM(H136:H171),2)</f>
        <v>0</v>
      </c>
    </row>
    <row r="173" spans="1:8" s="12" customFormat="1" ht="15">
      <c r="A173" s="72"/>
      <c r="B173" s="18"/>
      <c r="C173" s="283"/>
      <c r="D173" s="277"/>
      <c r="E173" s="274">
        <f>'MEMORIAL DE CALCULO GERAL'!E164</f>
        <v>0</v>
      </c>
      <c r="F173" s="291"/>
      <c r="G173" s="284"/>
      <c r="H173" s="285"/>
    </row>
    <row r="174" spans="1:8" s="12" customFormat="1" ht="15">
      <c r="A174" s="86" t="s">
        <v>563</v>
      </c>
      <c r="B174" s="19"/>
      <c r="C174" s="283" t="s">
        <v>518</v>
      </c>
      <c r="D174" s="277"/>
      <c r="E174" s="274">
        <f>'MEMORIAL DE CALCULO GERAL'!E165</f>
        <v>0</v>
      </c>
      <c r="F174" s="291"/>
      <c r="G174" s="279"/>
      <c r="H174" s="280"/>
    </row>
    <row r="175" spans="1:8" s="12" customFormat="1" ht="21.75" customHeight="1">
      <c r="A175" s="86" t="s">
        <v>36</v>
      </c>
      <c r="B175" s="20" t="s">
        <v>62</v>
      </c>
      <c r="C175" s="282" t="s">
        <v>441</v>
      </c>
      <c r="D175" s="277" t="s">
        <v>486</v>
      </c>
      <c r="E175" s="274">
        <f>'MEMORIAL DE CALCULO GERAL'!E166</f>
        <v>1</v>
      </c>
      <c r="F175" s="278"/>
      <c r="G175" s="279">
        <f t="shared" ref="G175:G186" si="18">E175*F175</f>
        <v>0</v>
      </c>
      <c r="H175" s="280">
        <f t="shared" ref="H175:H185" si="19">ROUND(G175*0.2418+G175,2)</f>
        <v>0</v>
      </c>
    </row>
    <row r="176" spans="1:8" s="12" customFormat="1" ht="28.5">
      <c r="A176" s="86" t="s">
        <v>38</v>
      </c>
      <c r="B176" s="20" t="s">
        <v>437</v>
      </c>
      <c r="C176" s="282" t="s">
        <v>438</v>
      </c>
      <c r="D176" s="277" t="s">
        <v>486</v>
      </c>
      <c r="E176" s="274">
        <f>'MEMORIAL DE CALCULO GERAL'!E167</f>
        <v>1</v>
      </c>
      <c r="F176" s="278"/>
      <c r="G176" s="279">
        <f t="shared" si="18"/>
        <v>0</v>
      </c>
      <c r="H176" s="280">
        <f>ROUND(G176*0.2418+G176,2)</f>
        <v>0</v>
      </c>
    </row>
    <row r="177" spans="1:8" s="12" customFormat="1" ht="15">
      <c r="A177" s="86" t="s">
        <v>312</v>
      </c>
      <c r="B177" s="20" t="s">
        <v>71</v>
      </c>
      <c r="C177" s="282" t="s">
        <v>173</v>
      </c>
      <c r="D177" s="277" t="s">
        <v>486</v>
      </c>
      <c r="E177" s="274">
        <f>'MEMORIAL DE CALCULO GERAL'!E168</f>
        <v>7</v>
      </c>
      <c r="F177" s="278"/>
      <c r="G177" s="279">
        <f t="shared" si="18"/>
        <v>0</v>
      </c>
      <c r="H177" s="280">
        <f t="shared" si="19"/>
        <v>0</v>
      </c>
    </row>
    <row r="178" spans="1:8" s="12" customFormat="1" ht="15">
      <c r="A178" s="86" t="s">
        <v>311</v>
      </c>
      <c r="B178" s="20" t="s">
        <v>172</v>
      </c>
      <c r="C178" s="282" t="s">
        <v>171</v>
      </c>
      <c r="D178" s="277" t="s">
        <v>486</v>
      </c>
      <c r="E178" s="274">
        <f>'MEMORIAL DE CALCULO GERAL'!E169</f>
        <v>4</v>
      </c>
      <c r="F178" s="278"/>
      <c r="G178" s="279">
        <f t="shared" si="18"/>
        <v>0</v>
      </c>
      <c r="H178" s="280">
        <f t="shared" si="19"/>
        <v>0</v>
      </c>
    </row>
    <row r="179" spans="1:8" s="12" customFormat="1" ht="15">
      <c r="A179" s="86" t="s">
        <v>310</v>
      </c>
      <c r="B179" s="20" t="s">
        <v>170</v>
      </c>
      <c r="C179" s="282" t="s">
        <v>169</v>
      </c>
      <c r="D179" s="277" t="s">
        <v>486</v>
      </c>
      <c r="E179" s="274">
        <f>'MEMORIAL DE CALCULO GERAL'!E170</f>
        <v>6</v>
      </c>
      <c r="F179" s="278"/>
      <c r="G179" s="279">
        <f t="shared" si="18"/>
        <v>0</v>
      </c>
      <c r="H179" s="280">
        <f t="shared" si="19"/>
        <v>0</v>
      </c>
    </row>
    <row r="180" spans="1:8" s="12" customFormat="1" ht="15">
      <c r="A180" s="86" t="s">
        <v>564</v>
      </c>
      <c r="B180" s="20" t="s">
        <v>457</v>
      </c>
      <c r="C180" s="282" t="s">
        <v>458</v>
      </c>
      <c r="D180" s="277" t="s">
        <v>487</v>
      </c>
      <c r="E180" s="274">
        <f>'MEMORIAL DE CALCULO GERAL'!E171</f>
        <v>4.29</v>
      </c>
      <c r="F180" s="278"/>
      <c r="G180" s="279">
        <f t="shared" si="18"/>
        <v>0</v>
      </c>
      <c r="H180" s="280">
        <f t="shared" si="19"/>
        <v>0</v>
      </c>
    </row>
    <row r="181" spans="1:8" s="12" customFormat="1" ht="15">
      <c r="A181" s="86" t="s">
        <v>565</v>
      </c>
      <c r="B181" s="20" t="s">
        <v>72</v>
      </c>
      <c r="C181" s="282" t="s">
        <v>168</v>
      </c>
      <c r="D181" s="277" t="s">
        <v>486</v>
      </c>
      <c r="E181" s="274">
        <f>'MEMORIAL DE CALCULO GERAL'!E172</f>
        <v>8</v>
      </c>
      <c r="F181" s="278"/>
      <c r="G181" s="279">
        <f t="shared" si="18"/>
        <v>0</v>
      </c>
      <c r="H181" s="280">
        <f t="shared" si="19"/>
        <v>0</v>
      </c>
    </row>
    <row r="182" spans="1:8" s="12" customFormat="1" ht="15">
      <c r="A182" s="86" t="s">
        <v>566</v>
      </c>
      <c r="B182" s="20" t="s">
        <v>73</v>
      </c>
      <c r="C182" s="282" t="s">
        <v>167</v>
      </c>
      <c r="D182" s="277" t="s">
        <v>486</v>
      </c>
      <c r="E182" s="274">
        <f>'MEMORIAL DE CALCULO GERAL'!E173</f>
        <v>4</v>
      </c>
      <c r="F182" s="278"/>
      <c r="G182" s="279">
        <f t="shared" si="18"/>
        <v>0</v>
      </c>
      <c r="H182" s="280">
        <f t="shared" si="19"/>
        <v>0</v>
      </c>
    </row>
    <row r="183" spans="1:8" s="12" customFormat="1" ht="15">
      <c r="A183" s="86" t="s">
        <v>567</v>
      </c>
      <c r="B183" s="20" t="s">
        <v>166</v>
      </c>
      <c r="C183" s="282" t="s">
        <v>165</v>
      </c>
      <c r="D183" s="277" t="s">
        <v>486</v>
      </c>
      <c r="E183" s="274">
        <f>'MEMORIAL DE CALCULO GERAL'!E174</f>
        <v>2</v>
      </c>
      <c r="F183" s="278"/>
      <c r="G183" s="279">
        <f t="shared" si="18"/>
        <v>0</v>
      </c>
      <c r="H183" s="280">
        <f t="shared" si="19"/>
        <v>0</v>
      </c>
    </row>
    <row r="184" spans="1:8" s="12" customFormat="1" ht="28.5">
      <c r="A184" s="86" t="s">
        <v>568</v>
      </c>
      <c r="B184" s="20" t="s">
        <v>164</v>
      </c>
      <c r="C184" s="282" t="s">
        <v>163</v>
      </c>
      <c r="D184" s="277" t="s">
        <v>486</v>
      </c>
      <c r="E184" s="274">
        <f>'MEMORIAL DE CALCULO GERAL'!E175</f>
        <v>6</v>
      </c>
      <c r="F184" s="278"/>
      <c r="G184" s="279">
        <f t="shared" si="18"/>
        <v>0</v>
      </c>
      <c r="H184" s="280">
        <f t="shared" si="19"/>
        <v>0</v>
      </c>
    </row>
    <row r="185" spans="1:8" s="12" customFormat="1" ht="15">
      <c r="A185" s="86" t="s">
        <v>608</v>
      </c>
      <c r="B185" s="20" t="s">
        <v>162</v>
      </c>
      <c r="C185" s="282" t="s">
        <v>161</v>
      </c>
      <c r="D185" s="277" t="s">
        <v>486</v>
      </c>
      <c r="E185" s="274">
        <f>'MEMORIAL DE CALCULO GERAL'!E176</f>
        <v>1</v>
      </c>
      <c r="F185" s="278"/>
      <c r="G185" s="279">
        <f t="shared" si="18"/>
        <v>0</v>
      </c>
      <c r="H185" s="280">
        <f t="shared" si="19"/>
        <v>0</v>
      </c>
    </row>
    <row r="186" spans="1:8" s="12" customFormat="1" ht="15">
      <c r="A186" s="86" t="s">
        <v>609</v>
      </c>
      <c r="B186" s="20" t="s">
        <v>74</v>
      </c>
      <c r="C186" s="282" t="s">
        <v>160</v>
      </c>
      <c r="D186" s="277" t="s">
        <v>486</v>
      </c>
      <c r="E186" s="274">
        <f>'MEMORIAL DE CALCULO GERAL'!E177</f>
        <v>8</v>
      </c>
      <c r="F186" s="278"/>
      <c r="G186" s="279">
        <f t="shared" si="18"/>
        <v>0</v>
      </c>
      <c r="H186" s="280">
        <f>ROUND(G186*0.2418+G186,2)</f>
        <v>0</v>
      </c>
    </row>
    <row r="187" spans="1:8" s="12" customFormat="1" ht="15">
      <c r="A187" s="72"/>
      <c r="B187" s="18"/>
      <c r="C187" s="283" t="s">
        <v>7</v>
      </c>
      <c r="D187" s="277"/>
      <c r="E187" s="274">
        <f>'MEMORIAL DE CALCULO GERAL'!E178</f>
        <v>0</v>
      </c>
      <c r="F187" s="291"/>
      <c r="G187" s="284">
        <f>SUM(G175:G186)</f>
        <v>0</v>
      </c>
      <c r="H187" s="285">
        <f>ROUND(SUM(H175:H186),2)</f>
        <v>0</v>
      </c>
    </row>
    <row r="188" spans="1:8" s="12" customFormat="1" ht="15">
      <c r="A188" s="72"/>
      <c r="B188" s="18"/>
      <c r="C188" s="283"/>
      <c r="D188" s="277"/>
      <c r="E188" s="274">
        <f>'MEMORIAL DE CALCULO GERAL'!E179</f>
        <v>0</v>
      </c>
      <c r="F188" s="291"/>
      <c r="G188" s="284"/>
      <c r="H188" s="285"/>
    </row>
    <row r="189" spans="1:8" s="12" customFormat="1" ht="15">
      <c r="A189" s="72" t="s">
        <v>569</v>
      </c>
      <c r="B189" s="19"/>
      <c r="C189" s="283" t="s">
        <v>690</v>
      </c>
      <c r="D189" s="277"/>
      <c r="E189" s="274">
        <f>'MEMORIAL DE CALCULO GERAL'!E180</f>
        <v>0</v>
      </c>
      <c r="F189" s="291"/>
      <c r="G189" s="279"/>
      <c r="H189" s="280"/>
    </row>
    <row r="190" spans="1:8" s="12" customFormat="1" ht="15">
      <c r="A190" s="72" t="s">
        <v>39</v>
      </c>
      <c r="B190" s="19" t="s">
        <v>157</v>
      </c>
      <c r="C190" s="282" t="s">
        <v>156</v>
      </c>
      <c r="D190" s="277" t="s">
        <v>489</v>
      </c>
      <c r="E190" s="274">
        <f>'MEMORIAL DE CALCULO GERAL'!E181</f>
        <v>29.16</v>
      </c>
      <c r="F190" s="278"/>
      <c r="G190" s="279">
        <f>E190*F190</f>
        <v>0</v>
      </c>
      <c r="H190" s="280">
        <f>ROUND(G190*0.2418+G190,2)</f>
        <v>0</v>
      </c>
    </row>
    <row r="191" spans="1:8" s="12" customFormat="1" ht="15">
      <c r="A191" s="72" t="s">
        <v>570</v>
      </c>
      <c r="B191" s="20" t="s">
        <v>75</v>
      </c>
      <c r="C191" s="282" t="s">
        <v>155</v>
      </c>
      <c r="D191" s="277" t="s">
        <v>489</v>
      </c>
      <c r="E191" s="274">
        <f>'MEMORIAL DE CALCULO GERAL'!E182</f>
        <v>20.43</v>
      </c>
      <c r="F191" s="278"/>
      <c r="G191" s="279">
        <f t="shared" ref="G191:G199" si="20">E191*F191</f>
        <v>0</v>
      </c>
      <c r="H191" s="280">
        <f t="shared" ref="H191:H199" si="21">ROUND(G191*0.2418+G191,2)</f>
        <v>0</v>
      </c>
    </row>
    <row r="192" spans="1:8" s="12" customFormat="1" ht="15">
      <c r="A192" s="72" t="s">
        <v>571</v>
      </c>
      <c r="B192" s="20" t="s">
        <v>154</v>
      </c>
      <c r="C192" s="282" t="s">
        <v>153</v>
      </c>
      <c r="D192" s="277" t="s">
        <v>489</v>
      </c>
      <c r="E192" s="274">
        <f>'MEMORIAL DE CALCULO GERAL'!E183</f>
        <v>14.8</v>
      </c>
      <c r="F192" s="278"/>
      <c r="G192" s="279">
        <f t="shared" si="20"/>
        <v>0</v>
      </c>
      <c r="H192" s="280">
        <f t="shared" si="21"/>
        <v>0</v>
      </c>
    </row>
    <row r="193" spans="1:8" s="12" customFormat="1" ht="15">
      <c r="A193" s="72" t="s">
        <v>40</v>
      </c>
      <c r="B193" s="20" t="s">
        <v>76</v>
      </c>
      <c r="C193" s="282" t="s">
        <v>152</v>
      </c>
      <c r="D193" s="277" t="s">
        <v>489</v>
      </c>
      <c r="E193" s="274">
        <f>'MEMORIAL DE CALCULO GERAL'!E184</f>
        <v>24.01</v>
      </c>
      <c r="F193" s="278"/>
      <c r="G193" s="279">
        <f t="shared" si="20"/>
        <v>0</v>
      </c>
      <c r="H193" s="280">
        <f t="shared" si="21"/>
        <v>0</v>
      </c>
    </row>
    <row r="194" spans="1:8" s="12" customFormat="1" ht="15">
      <c r="A194" s="72" t="s">
        <v>41</v>
      </c>
      <c r="B194" s="20" t="s">
        <v>151</v>
      </c>
      <c r="C194" s="282" t="s">
        <v>150</v>
      </c>
      <c r="D194" s="277" t="s">
        <v>489</v>
      </c>
      <c r="E194" s="274">
        <f>'MEMORIAL DE CALCULO GERAL'!E185</f>
        <v>8.91</v>
      </c>
      <c r="F194" s="278"/>
      <c r="G194" s="279">
        <f t="shared" si="20"/>
        <v>0</v>
      </c>
      <c r="H194" s="280">
        <f t="shared" si="21"/>
        <v>0</v>
      </c>
    </row>
    <row r="195" spans="1:8" s="12" customFormat="1" ht="28.5">
      <c r="A195" s="72" t="s">
        <v>42</v>
      </c>
      <c r="B195" s="20" t="s">
        <v>149</v>
      </c>
      <c r="C195" s="282" t="s">
        <v>148</v>
      </c>
      <c r="D195" s="277" t="s">
        <v>489</v>
      </c>
      <c r="E195" s="274">
        <f>'MEMORIAL DE CALCULO GERAL'!E186</f>
        <v>8.39</v>
      </c>
      <c r="F195" s="278"/>
      <c r="G195" s="279">
        <f t="shared" si="20"/>
        <v>0</v>
      </c>
      <c r="H195" s="280">
        <f t="shared" si="21"/>
        <v>0</v>
      </c>
    </row>
    <row r="196" spans="1:8" s="12" customFormat="1" ht="28.5">
      <c r="A196" s="72" t="s">
        <v>43</v>
      </c>
      <c r="B196" s="20" t="s">
        <v>147</v>
      </c>
      <c r="C196" s="282" t="s">
        <v>146</v>
      </c>
      <c r="D196" s="277" t="s">
        <v>489</v>
      </c>
      <c r="E196" s="274">
        <f>'MEMORIAL DE CALCULO GERAL'!E187</f>
        <v>15.570000000000002</v>
      </c>
      <c r="F196" s="278"/>
      <c r="G196" s="279">
        <f t="shared" si="20"/>
        <v>0</v>
      </c>
      <c r="H196" s="280">
        <f t="shared" si="21"/>
        <v>0</v>
      </c>
    </row>
    <row r="197" spans="1:8" s="12" customFormat="1" ht="28.5">
      <c r="A197" s="72" t="s">
        <v>572</v>
      </c>
      <c r="B197" s="20" t="s">
        <v>145</v>
      </c>
      <c r="C197" s="282" t="s">
        <v>144</v>
      </c>
      <c r="D197" s="277" t="s">
        <v>489</v>
      </c>
      <c r="E197" s="274">
        <f>'MEMORIAL DE CALCULO GERAL'!E188</f>
        <v>12.91</v>
      </c>
      <c r="F197" s="278"/>
      <c r="G197" s="279">
        <f t="shared" si="20"/>
        <v>0</v>
      </c>
      <c r="H197" s="280">
        <f t="shared" si="21"/>
        <v>0</v>
      </c>
    </row>
    <row r="198" spans="1:8" s="12" customFormat="1" ht="28.5">
      <c r="A198" s="72" t="s">
        <v>304</v>
      </c>
      <c r="B198" s="20" t="s">
        <v>143</v>
      </c>
      <c r="C198" s="282" t="s">
        <v>142</v>
      </c>
      <c r="D198" s="277" t="s">
        <v>489</v>
      </c>
      <c r="E198" s="274">
        <f>'MEMORIAL DE CALCULO GERAL'!E189</f>
        <v>17.43</v>
      </c>
      <c r="F198" s="278"/>
      <c r="G198" s="279">
        <f t="shared" si="20"/>
        <v>0</v>
      </c>
      <c r="H198" s="280">
        <f t="shared" si="21"/>
        <v>0</v>
      </c>
    </row>
    <row r="199" spans="1:8" s="12" customFormat="1" ht="28.5">
      <c r="A199" s="72" t="s">
        <v>581</v>
      </c>
      <c r="B199" s="20" t="s">
        <v>141</v>
      </c>
      <c r="C199" s="282" t="s">
        <v>140</v>
      </c>
      <c r="D199" s="277" t="s">
        <v>489</v>
      </c>
      <c r="E199" s="274">
        <f>'MEMORIAL DE CALCULO GERAL'!E190</f>
        <v>49.89</v>
      </c>
      <c r="F199" s="278"/>
      <c r="G199" s="279">
        <f t="shared" si="20"/>
        <v>0</v>
      </c>
      <c r="H199" s="280">
        <f t="shared" si="21"/>
        <v>0</v>
      </c>
    </row>
    <row r="200" spans="1:8" s="12" customFormat="1" ht="15">
      <c r="A200" s="72" t="s">
        <v>656</v>
      </c>
      <c r="B200" s="20" t="s">
        <v>139</v>
      </c>
      <c r="C200" s="282" t="s">
        <v>138</v>
      </c>
      <c r="D200" s="277" t="s">
        <v>489</v>
      </c>
      <c r="E200" s="274">
        <f>'MEMORIAL DE CALCULO GERAL'!E191</f>
        <v>11.5</v>
      </c>
      <c r="F200" s="278"/>
      <c r="G200" s="279">
        <f>E200*F200</f>
        <v>0</v>
      </c>
      <c r="H200" s="280">
        <f>ROUND(G200*0.2418+G200,2)</f>
        <v>0</v>
      </c>
    </row>
    <row r="201" spans="1:8" s="12" customFormat="1" ht="15">
      <c r="A201" s="72"/>
      <c r="B201" s="82"/>
      <c r="C201" s="283" t="s">
        <v>7</v>
      </c>
      <c r="D201" s="277"/>
      <c r="E201" s="274">
        <f>'MEMORIAL DE CALCULO GERAL'!E192</f>
        <v>0</v>
      </c>
      <c r="F201" s="291"/>
      <c r="G201" s="284">
        <f>SUM(G190:G200)</f>
        <v>0</v>
      </c>
      <c r="H201" s="285">
        <f>ROUND(SUM(H190:H200),2)</f>
        <v>0</v>
      </c>
    </row>
    <row r="202" spans="1:8" s="12" customFormat="1" ht="15">
      <c r="A202" s="72"/>
      <c r="B202" s="82"/>
      <c r="C202" s="283"/>
      <c r="D202" s="277"/>
      <c r="E202" s="274">
        <f>'MEMORIAL DE CALCULO GERAL'!E193</f>
        <v>0</v>
      </c>
      <c r="F202" s="291"/>
      <c r="G202" s="284"/>
      <c r="H202" s="285"/>
    </row>
    <row r="203" spans="1:8" s="12" customFormat="1" ht="23.25" customHeight="1">
      <c r="A203" s="72" t="s">
        <v>575</v>
      </c>
      <c r="B203" s="19"/>
      <c r="C203" s="283" t="s">
        <v>689</v>
      </c>
      <c r="D203" s="277"/>
      <c r="E203" s="274">
        <f>'MEMORIAL DE CALCULO GERAL'!E194</f>
        <v>0</v>
      </c>
      <c r="F203" s="291"/>
      <c r="G203" s="279"/>
      <c r="H203" s="280"/>
    </row>
    <row r="204" spans="1:8" s="12" customFormat="1" ht="15">
      <c r="A204" s="72" t="s">
        <v>44</v>
      </c>
      <c r="B204" s="20" t="s">
        <v>137</v>
      </c>
      <c r="C204" s="282" t="s">
        <v>136</v>
      </c>
      <c r="D204" s="277" t="s">
        <v>486</v>
      </c>
      <c r="E204" s="274">
        <f>'MEMORIAL DE CALCULO GERAL'!E195</f>
        <v>2</v>
      </c>
      <c r="F204" s="278"/>
      <c r="G204" s="279">
        <f t="shared" ref="G204:G212" si="22">E204*F204</f>
        <v>0</v>
      </c>
      <c r="H204" s="280">
        <f t="shared" ref="H204:H212" si="23">ROUND(G204*0.2418+G204,2)</f>
        <v>0</v>
      </c>
    </row>
    <row r="205" spans="1:8" s="12" customFormat="1" ht="15">
      <c r="A205" s="72" t="s">
        <v>45</v>
      </c>
      <c r="B205" s="20" t="s">
        <v>135</v>
      </c>
      <c r="C205" s="282" t="s">
        <v>134</v>
      </c>
      <c r="D205" s="277" t="s">
        <v>486</v>
      </c>
      <c r="E205" s="274">
        <f>'MEMORIAL DE CALCULO GERAL'!E196</f>
        <v>1</v>
      </c>
      <c r="F205" s="278"/>
      <c r="G205" s="279">
        <f t="shared" si="22"/>
        <v>0</v>
      </c>
      <c r="H205" s="280">
        <f t="shared" si="23"/>
        <v>0</v>
      </c>
    </row>
    <row r="206" spans="1:8" s="12" customFormat="1" ht="15">
      <c r="A206" s="72" t="s">
        <v>576</v>
      </c>
      <c r="B206" s="20" t="s">
        <v>133</v>
      </c>
      <c r="C206" s="282" t="s">
        <v>132</v>
      </c>
      <c r="D206" s="277" t="s">
        <v>486</v>
      </c>
      <c r="E206" s="274">
        <f>'MEMORIAL DE CALCULO GERAL'!E197</f>
        <v>1</v>
      </c>
      <c r="F206" s="278"/>
      <c r="G206" s="279">
        <f t="shared" si="22"/>
        <v>0</v>
      </c>
      <c r="H206" s="280">
        <f t="shared" si="23"/>
        <v>0</v>
      </c>
    </row>
    <row r="207" spans="1:8" s="12" customFormat="1" ht="15">
      <c r="A207" s="72" t="s">
        <v>577</v>
      </c>
      <c r="B207" s="20" t="s">
        <v>131</v>
      </c>
      <c r="C207" s="282" t="s">
        <v>130</v>
      </c>
      <c r="D207" s="277" t="s">
        <v>486</v>
      </c>
      <c r="E207" s="274">
        <f>'MEMORIAL DE CALCULO GERAL'!E198</f>
        <v>1</v>
      </c>
      <c r="F207" s="278"/>
      <c r="G207" s="279">
        <f>E207*F207</f>
        <v>0</v>
      </c>
      <c r="H207" s="280">
        <f>ROUND(G207*0.2418+G207,2)</f>
        <v>0</v>
      </c>
    </row>
    <row r="208" spans="1:8" s="12" customFormat="1" ht="15">
      <c r="A208" s="72" t="s">
        <v>46</v>
      </c>
      <c r="B208" s="20" t="s">
        <v>129</v>
      </c>
      <c r="C208" s="282" t="s">
        <v>128</v>
      </c>
      <c r="D208" s="277" t="s">
        <v>486</v>
      </c>
      <c r="E208" s="274">
        <f>'MEMORIAL DE CALCULO GERAL'!E199</f>
        <v>1</v>
      </c>
      <c r="F208" s="278"/>
      <c r="G208" s="279">
        <f t="shared" si="22"/>
        <v>0</v>
      </c>
      <c r="H208" s="280">
        <f t="shared" si="23"/>
        <v>0</v>
      </c>
    </row>
    <row r="209" spans="1:8" s="12" customFormat="1" ht="15">
      <c r="A209" s="72" t="s">
        <v>610</v>
      </c>
      <c r="B209" s="20" t="s">
        <v>127</v>
      </c>
      <c r="C209" s="282" t="s">
        <v>126</v>
      </c>
      <c r="D209" s="277" t="s">
        <v>486</v>
      </c>
      <c r="E209" s="274">
        <f>'MEMORIAL DE CALCULO GERAL'!E200</f>
        <v>3</v>
      </c>
      <c r="F209" s="278"/>
      <c r="G209" s="279">
        <f t="shared" si="22"/>
        <v>0</v>
      </c>
      <c r="H209" s="280">
        <f t="shared" si="23"/>
        <v>0</v>
      </c>
    </row>
    <row r="210" spans="1:8" s="12" customFormat="1" ht="15">
      <c r="A210" s="72" t="s">
        <v>611</v>
      </c>
      <c r="B210" s="20" t="s">
        <v>125</v>
      </c>
      <c r="C210" s="282" t="s">
        <v>124</v>
      </c>
      <c r="D210" s="277" t="s">
        <v>486</v>
      </c>
      <c r="E210" s="274">
        <f>'MEMORIAL DE CALCULO GERAL'!E201</f>
        <v>1</v>
      </c>
      <c r="F210" s="278"/>
      <c r="G210" s="279">
        <f t="shared" si="22"/>
        <v>0</v>
      </c>
      <c r="H210" s="280">
        <f t="shared" si="23"/>
        <v>0</v>
      </c>
    </row>
    <row r="211" spans="1:8" s="12" customFormat="1" ht="15">
      <c r="A211" s="72" t="s">
        <v>612</v>
      </c>
      <c r="B211" s="20" t="s">
        <v>123</v>
      </c>
      <c r="C211" s="282" t="s">
        <v>122</v>
      </c>
      <c r="D211" s="277" t="s">
        <v>486</v>
      </c>
      <c r="E211" s="274">
        <f>'MEMORIAL DE CALCULO GERAL'!E202</f>
        <v>8</v>
      </c>
      <c r="F211" s="278"/>
      <c r="G211" s="279">
        <f t="shared" si="22"/>
        <v>0</v>
      </c>
      <c r="H211" s="280">
        <f t="shared" si="23"/>
        <v>0</v>
      </c>
    </row>
    <row r="212" spans="1:8" s="12" customFormat="1" ht="15">
      <c r="A212" s="72" t="s">
        <v>613</v>
      </c>
      <c r="B212" s="20" t="s">
        <v>121</v>
      </c>
      <c r="C212" s="282" t="s">
        <v>120</v>
      </c>
      <c r="D212" s="277" t="s">
        <v>486</v>
      </c>
      <c r="E212" s="274">
        <f>'MEMORIAL DE CALCULO GERAL'!E203</f>
        <v>8</v>
      </c>
      <c r="F212" s="278"/>
      <c r="G212" s="279">
        <f t="shared" si="22"/>
        <v>0</v>
      </c>
      <c r="H212" s="280">
        <f t="shared" si="23"/>
        <v>0</v>
      </c>
    </row>
    <row r="213" spans="1:8" s="12" customFormat="1" ht="15">
      <c r="A213" s="72" t="s">
        <v>614</v>
      </c>
      <c r="B213" s="20" t="s">
        <v>119</v>
      </c>
      <c r="C213" s="282" t="s">
        <v>118</v>
      </c>
      <c r="D213" s="277" t="s">
        <v>486</v>
      </c>
      <c r="E213" s="274">
        <f>'MEMORIAL DE CALCULO GERAL'!E204</f>
        <v>4</v>
      </c>
      <c r="F213" s="278"/>
      <c r="G213" s="279">
        <f>E213*F213</f>
        <v>0</v>
      </c>
      <c r="H213" s="280">
        <f>ROUND(G213*0.2418+G213,2)</f>
        <v>0</v>
      </c>
    </row>
    <row r="214" spans="1:8" s="12" customFormat="1" ht="15">
      <c r="A214" s="72"/>
      <c r="B214" s="82"/>
      <c r="C214" s="283" t="s">
        <v>7</v>
      </c>
      <c r="D214" s="277"/>
      <c r="E214" s="274">
        <f>'MEMORIAL DE CALCULO GERAL'!E205</f>
        <v>0</v>
      </c>
      <c r="F214" s="291"/>
      <c r="G214" s="284">
        <f>SUM(G204:G213)</f>
        <v>0</v>
      </c>
      <c r="H214" s="285">
        <f>ROUND(SUM(H204:H213),2)</f>
        <v>0</v>
      </c>
    </row>
    <row r="215" spans="1:8" s="12" customFormat="1" ht="15">
      <c r="A215" s="72"/>
      <c r="B215" s="82"/>
      <c r="C215" s="283"/>
      <c r="D215" s="277"/>
      <c r="E215" s="274">
        <f>'MEMORIAL DE CALCULO GERAL'!E206</f>
        <v>0</v>
      </c>
      <c r="F215" s="291"/>
      <c r="G215" s="284"/>
      <c r="H215" s="285"/>
    </row>
    <row r="216" spans="1:8" s="12" customFormat="1" ht="20.25" customHeight="1">
      <c r="A216" s="72" t="s">
        <v>583</v>
      </c>
      <c r="B216" s="19"/>
      <c r="C216" s="283" t="s">
        <v>498</v>
      </c>
      <c r="D216" s="277"/>
      <c r="E216" s="274">
        <f>'MEMORIAL DE CALCULO GERAL'!E207</f>
        <v>0</v>
      </c>
      <c r="F216" s="291"/>
      <c r="G216" s="279"/>
      <c r="H216" s="280"/>
    </row>
    <row r="217" spans="1:8" s="12" customFormat="1" ht="15">
      <c r="A217" s="72" t="s">
        <v>47</v>
      </c>
      <c r="B217" s="20" t="s">
        <v>114</v>
      </c>
      <c r="C217" s="282" t="s">
        <v>113</v>
      </c>
      <c r="D217" s="277" t="s">
        <v>486</v>
      </c>
      <c r="E217" s="274">
        <f>'MEMORIAL DE CALCULO GERAL'!E208</f>
        <v>2</v>
      </c>
      <c r="F217" s="278"/>
      <c r="G217" s="279">
        <f t="shared" ref="G217:G222" si="24">E217*F217</f>
        <v>0</v>
      </c>
      <c r="H217" s="280">
        <f t="shared" ref="H217:H222" si="25">ROUND(G217*0.2418+G217,2)</f>
        <v>0</v>
      </c>
    </row>
    <row r="218" spans="1:8" s="12" customFormat="1" ht="15">
      <c r="A218" s="72" t="s">
        <v>48</v>
      </c>
      <c r="B218" s="20" t="s">
        <v>77</v>
      </c>
      <c r="C218" s="282" t="s">
        <v>112</v>
      </c>
      <c r="D218" s="277" t="s">
        <v>486</v>
      </c>
      <c r="E218" s="274">
        <f>'MEMORIAL DE CALCULO GERAL'!E209</f>
        <v>2</v>
      </c>
      <c r="F218" s="278"/>
      <c r="G218" s="279">
        <f t="shared" si="24"/>
        <v>0</v>
      </c>
      <c r="H218" s="280">
        <f t="shared" si="25"/>
        <v>0</v>
      </c>
    </row>
    <row r="219" spans="1:8" s="12" customFormat="1" ht="15">
      <c r="A219" s="72" t="s">
        <v>301</v>
      </c>
      <c r="B219" s="20" t="s">
        <v>111</v>
      </c>
      <c r="C219" s="282" t="s">
        <v>460</v>
      </c>
      <c r="D219" s="277" t="s">
        <v>486</v>
      </c>
      <c r="E219" s="274">
        <f>'MEMORIAL DE CALCULO GERAL'!E210</f>
        <v>1</v>
      </c>
      <c r="F219" s="278"/>
      <c r="G219" s="279">
        <f t="shared" si="24"/>
        <v>0</v>
      </c>
      <c r="H219" s="280">
        <f t="shared" si="25"/>
        <v>0</v>
      </c>
    </row>
    <row r="220" spans="1:8" s="12" customFormat="1" ht="15">
      <c r="A220" s="72" t="s">
        <v>300</v>
      </c>
      <c r="B220" s="20" t="s">
        <v>116</v>
      </c>
      <c r="C220" s="282" t="s">
        <v>115</v>
      </c>
      <c r="D220" s="277" t="s">
        <v>486</v>
      </c>
      <c r="E220" s="274">
        <f>'MEMORIAL DE CALCULO GERAL'!E211</f>
        <v>1</v>
      </c>
      <c r="F220" s="278"/>
      <c r="G220" s="279">
        <f t="shared" si="24"/>
        <v>0</v>
      </c>
      <c r="H220" s="280">
        <f t="shared" si="25"/>
        <v>0</v>
      </c>
    </row>
    <row r="221" spans="1:8" s="12" customFormat="1" ht="28.5">
      <c r="A221" s="72" t="s">
        <v>298</v>
      </c>
      <c r="B221" s="20" t="s">
        <v>573</v>
      </c>
      <c r="C221" s="282" t="s">
        <v>574</v>
      </c>
      <c r="D221" s="277" t="s">
        <v>486</v>
      </c>
      <c r="E221" s="274">
        <f>'MEMORIAL DE CALCULO GERAL'!E212</f>
        <v>6</v>
      </c>
      <c r="F221" s="278"/>
      <c r="G221" s="279">
        <f t="shared" si="24"/>
        <v>0</v>
      </c>
      <c r="H221" s="280">
        <f t="shared" si="25"/>
        <v>0</v>
      </c>
    </row>
    <row r="222" spans="1:8" s="12" customFormat="1" ht="15">
      <c r="A222" s="72" t="s">
        <v>652</v>
      </c>
      <c r="B222" s="20" t="s">
        <v>110</v>
      </c>
      <c r="C222" s="282" t="s">
        <v>109</v>
      </c>
      <c r="D222" s="277" t="s">
        <v>486</v>
      </c>
      <c r="E222" s="274">
        <f>'MEMORIAL DE CALCULO GERAL'!E213</f>
        <v>32</v>
      </c>
      <c r="F222" s="278"/>
      <c r="G222" s="279">
        <f t="shared" si="24"/>
        <v>0</v>
      </c>
      <c r="H222" s="280">
        <f t="shared" si="25"/>
        <v>0</v>
      </c>
    </row>
    <row r="223" spans="1:8" s="12" customFormat="1" ht="15">
      <c r="A223" s="72"/>
      <c r="B223" s="82"/>
      <c r="C223" s="283" t="s">
        <v>7</v>
      </c>
      <c r="D223" s="277"/>
      <c r="E223" s="274">
        <f>'MEMORIAL DE CALCULO GERAL'!E214</f>
        <v>0</v>
      </c>
      <c r="F223" s="291"/>
      <c r="G223" s="284">
        <f>SUM(G217:G222)</f>
        <v>0</v>
      </c>
      <c r="H223" s="285">
        <f>ROUND(SUM(H217:H222),2)</f>
        <v>0</v>
      </c>
    </row>
    <row r="224" spans="1:8" s="12" customFormat="1">
      <c r="A224" s="72"/>
      <c r="B224" s="82"/>
      <c r="C224" s="296"/>
      <c r="D224" s="277"/>
      <c r="E224" s="274">
        <f>'MEMORIAL DE CALCULO GERAL'!E215</f>
        <v>0</v>
      </c>
      <c r="F224" s="297"/>
      <c r="G224" s="298"/>
      <c r="H224" s="280"/>
    </row>
    <row r="225" spans="1:8" s="12" customFormat="1" ht="15">
      <c r="A225" s="72" t="s">
        <v>584</v>
      </c>
      <c r="B225" s="19"/>
      <c r="C225" s="283" t="s">
        <v>499</v>
      </c>
      <c r="D225" s="277"/>
      <c r="E225" s="274">
        <f>'MEMORIAL DE CALCULO GERAL'!E216</f>
        <v>0</v>
      </c>
      <c r="F225" s="291"/>
      <c r="G225" s="279"/>
      <c r="H225" s="280"/>
    </row>
    <row r="226" spans="1:8" s="12" customFormat="1" ht="15">
      <c r="A226" s="72" t="s">
        <v>50</v>
      </c>
      <c r="B226" s="77" t="s">
        <v>108</v>
      </c>
      <c r="C226" s="282" t="s">
        <v>107</v>
      </c>
      <c r="D226" s="277" t="s">
        <v>486</v>
      </c>
      <c r="E226" s="274">
        <f>'MEMORIAL DE CALCULO GERAL'!E217</f>
        <v>1</v>
      </c>
      <c r="F226" s="278"/>
      <c r="G226" s="279">
        <f>E226*F226</f>
        <v>0</v>
      </c>
      <c r="H226" s="280">
        <f>ROUND(G226*0.2418+G226,2)</f>
        <v>0</v>
      </c>
    </row>
    <row r="227" spans="1:8" s="12" customFormat="1" ht="15">
      <c r="A227" s="72" t="s">
        <v>585</v>
      </c>
      <c r="B227" s="77" t="s">
        <v>106</v>
      </c>
      <c r="C227" s="282" t="s">
        <v>105</v>
      </c>
      <c r="D227" s="277" t="s">
        <v>486</v>
      </c>
      <c r="E227" s="274">
        <f>'MEMORIAL DE CALCULO GERAL'!E218</f>
        <v>2</v>
      </c>
      <c r="F227" s="278"/>
      <c r="G227" s="279">
        <f>E227*F227</f>
        <v>0</v>
      </c>
      <c r="H227" s="280">
        <f>ROUND(G227*0.2418+G227,2)</f>
        <v>0</v>
      </c>
    </row>
    <row r="228" spans="1:8" s="12" customFormat="1" ht="28.5">
      <c r="A228" s="72" t="s">
        <v>51</v>
      </c>
      <c r="B228" s="77" t="s">
        <v>461</v>
      </c>
      <c r="C228" s="282" t="s">
        <v>462</v>
      </c>
      <c r="D228" s="277" t="s">
        <v>486</v>
      </c>
      <c r="E228" s="274">
        <f>'MEMORIAL DE CALCULO GERAL'!E219</f>
        <v>3</v>
      </c>
      <c r="F228" s="278"/>
      <c r="G228" s="279">
        <f>E228*F228</f>
        <v>0</v>
      </c>
      <c r="H228" s="280">
        <f>ROUND(G228*0.2418+G228,2)</f>
        <v>0</v>
      </c>
    </row>
    <row r="229" spans="1:8" s="12" customFormat="1" ht="28.5">
      <c r="A229" s="72" t="s">
        <v>586</v>
      </c>
      <c r="B229" s="77" t="s">
        <v>463</v>
      </c>
      <c r="C229" s="282" t="s">
        <v>464</v>
      </c>
      <c r="D229" s="277" t="s">
        <v>486</v>
      </c>
      <c r="E229" s="274">
        <f>'MEMORIAL DE CALCULO GERAL'!E220</f>
        <v>6</v>
      </c>
      <c r="F229" s="278"/>
      <c r="G229" s="279">
        <f>E229*F229</f>
        <v>0</v>
      </c>
      <c r="H229" s="280">
        <f>ROUND(G229*0.2418+G229,2)</f>
        <v>0</v>
      </c>
    </row>
    <row r="230" spans="1:8" s="12" customFormat="1" ht="15">
      <c r="A230" s="72" t="s">
        <v>53</v>
      </c>
      <c r="B230" s="77" t="s">
        <v>101</v>
      </c>
      <c r="C230" s="282" t="s">
        <v>100</v>
      </c>
      <c r="D230" s="277" t="s">
        <v>486</v>
      </c>
      <c r="E230" s="274">
        <f>'MEMORIAL DE CALCULO GERAL'!E221</f>
        <v>5</v>
      </c>
      <c r="F230" s="278"/>
      <c r="G230" s="279">
        <f>E230*F230</f>
        <v>0</v>
      </c>
      <c r="H230" s="280">
        <f>ROUND(G230*0.2418+G230,2)</f>
        <v>0</v>
      </c>
    </row>
    <row r="231" spans="1:8" s="12" customFormat="1" ht="15">
      <c r="A231" s="72"/>
      <c r="B231" s="82"/>
      <c r="C231" s="283" t="s">
        <v>7</v>
      </c>
      <c r="D231" s="277"/>
      <c r="E231" s="274">
        <f>'MEMORIAL DE CALCULO GERAL'!E222</f>
        <v>0</v>
      </c>
      <c r="F231" s="291"/>
      <c r="G231" s="284">
        <f>SUM(G226:G230)</f>
        <v>0</v>
      </c>
      <c r="H231" s="285">
        <f>ROUND(SUM(H226:H230),2)</f>
        <v>0</v>
      </c>
    </row>
    <row r="232" spans="1:8" s="12" customFormat="1">
      <c r="A232" s="72"/>
      <c r="B232" s="82"/>
      <c r="C232" s="296"/>
      <c r="D232" s="277"/>
      <c r="E232" s="274">
        <f>'MEMORIAL DE CALCULO GERAL'!E223</f>
        <v>0</v>
      </c>
      <c r="F232" s="297"/>
      <c r="G232" s="298"/>
      <c r="H232" s="280"/>
    </row>
    <row r="233" spans="1:8" s="12" customFormat="1" ht="15">
      <c r="A233" s="72" t="s">
        <v>615</v>
      </c>
      <c r="B233" s="19"/>
      <c r="C233" s="283" t="s">
        <v>93</v>
      </c>
      <c r="D233" s="277"/>
      <c r="E233" s="274">
        <f>'MEMORIAL DE CALCULO GERAL'!E224</f>
        <v>0</v>
      </c>
      <c r="F233" s="291"/>
      <c r="G233" s="279"/>
      <c r="H233" s="280"/>
    </row>
    <row r="234" spans="1:8" s="12" customFormat="1" ht="15">
      <c r="A234" s="72" t="s">
        <v>616</v>
      </c>
      <c r="B234" s="77" t="s">
        <v>407</v>
      </c>
      <c r="C234" s="282" t="s">
        <v>406</v>
      </c>
      <c r="D234" s="277" t="s">
        <v>489</v>
      </c>
      <c r="E234" s="274">
        <f>'MEMORIAL DE CALCULO GERAL'!E225</f>
        <v>16</v>
      </c>
      <c r="F234" s="278"/>
      <c r="G234" s="279">
        <f t="shared" ref="G234:G239" si="26">E234*F234</f>
        <v>0</v>
      </c>
      <c r="H234" s="280">
        <f t="shared" ref="H234:H239" si="27">ROUND(G234*0.2418+G234,2)</f>
        <v>0</v>
      </c>
    </row>
    <row r="235" spans="1:8" s="12" customFormat="1" ht="15">
      <c r="A235" s="72" t="s">
        <v>54</v>
      </c>
      <c r="B235" s="77" t="s">
        <v>230</v>
      </c>
      <c r="C235" s="282" t="s">
        <v>229</v>
      </c>
      <c r="D235" s="277" t="s">
        <v>489</v>
      </c>
      <c r="E235" s="274">
        <f>'MEMORIAL DE CALCULO GERAL'!E226</f>
        <v>28.5</v>
      </c>
      <c r="F235" s="278"/>
      <c r="G235" s="279">
        <f t="shared" si="26"/>
        <v>0</v>
      </c>
      <c r="H235" s="280">
        <f t="shared" si="27"/>
        <v>0</v>
      </c>
    </row>
    <row r="236" spans="1:8" s="12" customFormat="1" ht="15">
      <c r="A236" s="72" t="s">
        <v>55</v>
      </c>
      <c r="B236" s="77" t="s">
        <v>159</v>
      </c>
      <c r="C236" s="282" t="s">
        <v>158</v>
      </c>
      <c r="D236" s="277" t="s">
        <v>486</v>
      </c>
      <c r="E236" s="274">
        <f>'MEMORIAL DE CALCULO GERAL'!E227</f>
        <v>1</v>
      </c>
      <c r="F236" s="278"/>
      <c r="G236" s="279">
        <f t="shared" si="26"/>
        <v>0</v>
      </c>
      <c r="H236" s="280">
        <f t="shared" si="27"/>
        <v>0</v>
      </c>
    </row>
    <row r="237" spans="1:8" s="12" customFormat="1" ht="15">
      <c r="A237" s="72" t="s">
        <v>617</v>
      </c>
      <c r="B237" s="77" t="s">
        <v>117</v>
      </c>
      <c r="C237" s="282" t="s">
        <v>459</v>
      </c>
      <c r="D237" s="277" t="s">
        <v>486</v>
      </c>
      <c r="E237" s="274">
        <f>'MEMORIAL DE CALCULO GERAL'!E228</f>
        <v>2</v>
      </c>
      <c r="F237" s="278"/>
      <c r="G237" s="279">
        <f t="shared" si="26"/>
        <v>0</v>
      </c>
      <c r="H237" s="280">
        <f t="shared" si="27"/>
        <v>0</v>
      </c>
    </row>
    <row r="238" spans="1:8" s="12" customFormat="1" ht="15">
      <c r="A238" s="72" t="s">
        <v>618</v>
      </c>
      <c r="B238" s="20" t="s">
        <v>78</v>
      </c>
      <c r="C238" s="282" t="s">
        <v>104</v>
      </c>
      <c r="D238" s="277" t="s">
        <v>487</v>
      </c>
      <c r="E238" s="274">
        <f>'MEMORIAL DE CALCULO GERAL'!E229</f>
        <v>612.26</v>
      </c>
      <c r="F238" s="278"/>
      <c r="G238" s="279">
        <f t="shared" si="26"/>
        <v>0</v>
      </c>
      <c r="H238" s="280">
        <f t="shared" si="27"/>
        <v>0</v>
      </c>
    </row>
    <row r="239" spans="1:8" s="12" customFormat="1" ht="14.25" customHeight="1">
      <c r="A239" s="72" t="s">
        <v>647</v>
      </c>
      <c r="B239" s="77" t="s">
        <v>103</v>
      </c>
      <c r="C239" s="282" t="s">
        <v>102</v>
      </c>
      <c r="D239" s="277" t="s">
        <v>487</v>
      </c>
      <c r="E239" s="274">
        <f>'MEMORIAL DE CALCULO GERAL'!E230</f>
        <v>605.47</v>
      </c>
      <c r="F239" s="278"/>
      <c r="G239" s="279">
        <f t="shared" si="26"/>
        <v>0</v>
      </c>
      <c r="H239" s="280">
        <f t="shared" si="27"/>
        <v>0</v>
      </c>
    </row>
    <row r="240" spans="1:8" s="12" customFormat="1" ht="15">
      <c r="A240" s="72"/>
      <c r="B240" s="77"/>
      <c r="C240" s="283" t="s">
        <v>7</v>
      </c>
      <c r="D240" s="290"/>
      <c r="E240" s="274">
        <f>'MEMORIAL DE CALCULO GERAL'!E231</f>
        <v>0</v>
      </c>
      <c r="F240" s="291"/>
      <c r="G240" s="284">
        <f>SUM(G234:G239)</f>
        <v>0</v>
      </c>
      <c r="H240" s="285">
        <f>ROUND(SUM(H234:H239),2)</f>
        <v>0</v>
      </c>
    </row>
    <row r="241" spans="1:12" s="12" customFormat="1" ht="15" thickBot="1">
      <c r="A241" s="87"/>
      <c r="B241" s="22"/>
      <c r="C241" s="23"/>
      <c r="D241" s="24"/>
      <c r="E241" s="23"/>
      <c r="F241" s="142"/>
      <c r="G241" s="45"/>
      <c r="H241" s="46"/>
    </row>
    <row r="242" spans="1:12" s="12" customFormat="1" ht="15">
      <c r="A242" s="84"/>
      <c r="B242" s="25"/>
      <c r="C242" s="26"/>
      <c r="D242" s="115"/>
      <c r="E242" s="26"/>
      <c r="F242" s="47" t="s">
        <v>98</v>
      </c>
      <c r="G242" s="48">
        <f>G15+G45+G53+G61+G75+G100+G117+G124+G133+G172+G187+G201+G214+G223+G231+G240</f>
        <v>0</v>
      </c>
      <c r="H242" s="49"/>
      <c r="J242"/>
      <c r="K242"/>
      <c r="L242"/>
    </row>
    <row r="243" spans="1:12" s="12" customFormat="1" ht="30.75" thickBot="1">
      <c r="A243" s="362" t="s">
        <v>899</v>
      </c>
      <c r="B243" s="363"/>
      <c r="C243" s="363"/>
      <c r="D243" s="363"/>
      <c r="E243" s="364"/>
      <c r="F243" s="141" t="s">
        <v>481</v>
      </c>
      <c r="G243" s="50"/>
      <c r="H243" s="30">
        <f>ROUND(H15+H45+H53+H61+H75+H100+H117+H124+H133+H172+H187+H201+H214+H223+H231+H240,2)</f>
        <v>0</v>
      </c>
      <c r="I243" s="52"/>
      <c r="J243"/>
      <c r="K243"/>
      <c r="L243"/>
    </row>
    <row r="244" spans="1:12" s="12" customFormat="1" ht="15.75" customHeight="1">
      <c r="A244" s="84"/>
      <c r="B244" s="28"/>
      <c r="C244" s="26"/>
      <c r="D244" s="115"/>
      <c r="E244" s="29"/>
      <c r="F244" s="27"/>
      <c r="G244" s="27"/>
      <c r="H244" s="121"/>
      <c r="J244"/>
      <c r="K244"/>
      <c r="L244"/>
    </row>
    <row r="245" spans="1:12" s="12" customFormat="1" ht="15.75" customHeight="1">
      <c r="A245" s="369" t="s">
        <v>902</v>
      </c>
      <c r="B245" s="370"/>
      <c r="C245" s="370"/>
      <c r="D245" s="32"/>
      <c r="E245" s="32"/>
      <c r="F245" s="33"/>
      <c r="G245" s="33"/>
      <c r="H245" s="122"/>
      <c r="L245" s="51"/>
    </row>
    <row r="246" spans="1:12" s="12" customFormat="1" ht="15.75" customHeight="1">
      <c r="A246" s="84"/>
      <c r="B246" s="25"/>
      <c r="C246" s="31"/>
      <c r="D246" s="32"/>
      <c r="E246" s="32"/>
      <c r="F246" s="33"/>
      <c r="G246" s="33"/>
      <c r="H246" s="122"/>
    </row>
    <row r="247" spans="1:12" s="12" customFormat="1" ht="15.75" customHeight="1">
      <c r="A247" s="84"/>
      <c r="B247" s="25"/>
      <c r="C247" s="115" t="s">
        <v>99</v>
      </c>
      <c r="D247" s="26"/>
      <c r="E247" s="382" t="s">
        <v>99</v>
      </c>
      <c r="F247" s="382"/>
      <c r="G247" s="382"/>
      <c r="H247" s="122"/>
    </row>
    <row r="248" spans="1:12" s="12" customFormat="1" ht="19.5" customHeight="1">
      <c r="A248" s="84"/>
      <c r="B248" s="25"/>
      <c r="C248" s="116" t="s">
        <v>515</v>
      </c>
      <c r="D248" s="34"/>
      <c r="E248" s="381" t="s">
        <v>516</v>
      </c>
      <c r="F248" s="381"/>
      <c r="G248" s="381"/>
      <c r="H248" s="122"/>
    </row>
    <row r="249" spans="1:12" s="12" customFormat="1" ht="15" customHeight="1">
      <c r="A249" s="84"/>
      <c r="B249" s="25"/>
      <c r="C249" s="116" t="s">
        <v>517</v>
      </c>
      <c r="D249" s="123"/>
      <c r="E249" s="380" t="s">
        <v>484</v>
      </c>
      <c r="F249" s="380"/>
      <c r="G249" s="380"/>
      <c r="H249" s="122"/>
    </row>
    <row r="250" spans="1:12" s="12" customFormat="1" ht="24.75" customHeight="1">
      <c r="A250" s="84"/>
      <c r="B250" s="25"/>
      <c r="C250" s="116" t="s">
        <v>94</v>
      </c>
      <c r="D250" s="123"/>
      <c r="E250" s="383"/>
      <c r="F250" s="383"/>
      <c r="G250" s="383"/>
      <c r="H250" s="122"/>
    </row>
    <row r="251" spans="1:12" s="12" customFormat="1" ht="15">
      <c r="A251" s="84"/>
      <c r="B251" s="25"/>
      <c r="C251" s="116" t="s">
        <v>95</v>
      </c>
      <c r="D251" s="123"/>
      <c r="E251" s="368"/>
      <c r="F251" s="368"/>
      <c r="G251" s="33"/>
      <c r="H251" s="122"/>
    </row>
    <row r="252" spans="1:12" s="12" customFormat="1" ht="15.75" customHeight="1" thickBot="1">
      <c r="A252" s="85"/>
      <c r="B252" s="124"/>
      <c r="C252" s="125"/>
      <c r="D252" s="126"/>
      <c r="E252" s="379"/>
      <c r="F252" s="379"/>
      <c r="G252" s="127"/>
      <c r="H252" s="128"/>
    </row>
    <row r="253" spans="1:12" s="12" customFormat="1">
      <c r="A253" s="81"/>
      <c r="B253" s="35"/>
      <c r="C253" s="2"/>
      <c r="D253" s="81"/>
      <c r="E253" s="2"/>
      <c r="F253" s="2"/>
      <c r="G253" s="2"/>
    </row>
    <row r="254" spans="1:12" s="12" customFormat="1">
      <c r="A254" s="81"/>
      <c r="B254" s="35"/>
      <c r="C254" s="2"/>
      <c r="D254" s="81"/>
      <c r="E254" s="2"/>
      <c r="F254" s="2"/>
      <c r="G254" s="2"/>
    </row>
    <row r="255" spans="1:12" s="12" customFormat="1">
      <c r="A255" s="81"/>
      <c r="B255" s="35"/>
      <c r="C255" s="2"/>
      <c r="D255" s="81"/>
      <c r="E255" s="2"/>
      <c r="F255" s="2"/>
      <c r="G255" s="2"/>
    </row>
    <row r="256" spans="1:12" s="12" customFormat="1">
      <c r="A256" s="81"/>
      <c r="B256" s="35"/>
      <c r="C256" s="2"/>
      <c r="D256" s="81"/>
      <c r="E256" s="2"/>
      <c r="F256" s="2"/>
      <c r="G256" s="2"/>
    </row>
    <row r="257" spans="1:8" s="12" customFormat="1">
      <c r="A257" s="81"/>
      <c r="B257" s="35"/>
      <c r="C257" s="2"/>
      <c r="D257" s="81"/>
      <c r="E257" s="2"/>
      <c r="F257" s="2"/>
      <c r="G257" s="2"/>
    </row>
    <row r="258" spans="1:8" s="12" customFormat="1">
      <c r="A258" s="81"/>
      <c r="B258" s="35"/>
      <c r="C258" s="2"/>
      <c r="D258" s="81"/>
      <c r="E258" s="2"/>
      <c r="F258" s="2"/>
      <c r="G258" s="2"/>
    </row>
    <row r="259" spans="1:8" s="12" customFormat="1">
      <c r="A259" s="81"/>
      <c r="B259" s="35"/>
      <c r="C259" s="2"/>
      <c r="D259" s="81"/>
      <c r="E259" s="2"/>
      <c r="F259" s="2"/>
      <c r="G259" s="2"/>
    </row>
    <row r="260" spans="1:8" s="12" customFormat="1">
      <c r="A260" s="81"/>
      <c r="B260" s="35"/>
      <c r="C260" s="2"/>
      <c r="D260" s="81"/>
      <c r="E260" s="2"/>
      <c r="F260" s="2"/>
      <c r="G260" s="2"/>
    </row>
    <row r="261" spans="1:8" s="12" customFormat="1">
      <c r="A261" s="81"/>
      <c r="B261" s="35"/>
      <c r="C261" s="2"/>
      <c r="D261" s="81"/>
      <c r="E261" s="2"/>
      <c r="F261" s="2"/>
      <c r="G261" s="2"/>
    </row>
    <row r="262" spans="1:8" s="12" customFormat="1">
      <c r="A262" s="81"/>
      <c r="B262" s="35"/>
      <c r="C262" s="2"/>
      <c r="D262" s="81"/>
      <c r="E262" s="2"/>
      <c r="F262" s="2"/>
      <c r="G262" s="2"/>
    </row>
    <row r="263" spans="1:8" s="12" customFormat="1">
      <c r="A263" s="81"/>
      <c r="B263" s="35"/>
      <c r="C263" s="2"/>
      <c r="D263" s="81"/>
      <c r="E263" s="2"/>
      <c r="F263" s="2"/>
      <c r="G263" s="2"/>
    </row>
    <row r="264" spans="1:8" s="12" customFormat="1">
      <c r="A264" s="81"/>
      <c r="B264" s="35"/>
      <c r="C264" s="2"/>
      <c r="D264" s="81"/>
      <c r="E264" s="2"/>
      <c r="F264" s="2"/>
      <c r="G264" s="2"/>
    </row>
    <row r="265" spans="1:8" s="12" customFormat="1">
      <c r="A265" s="81"/>
      <c r="B265" s="35"/>
      <c r="C265" s="2"/>
      <c r="D265" s="81"/>
      <c r="E265" s="2"/>
      <c r="F265" s="2"/>
      <c r="G265" s="2"/>
    </row>
    <row r="266" spans="1:8" s="12" customFormat="1">
      <c r="A266" s="81"/>
      <c r="B266" s="35"/>
      <c r="C266" s="2"/>
      <c r="D266" s="81"/>
      <c r="E266" s="2"/>
      <c r="F266" s="2"/>
      <c r="G266" s="2"/>
    </row>
    <row r="267" spans="1:8" s="12" customFormat="1">
      <c r="A267" s="81"/>
      <c r="B267" s="35"/>
      <c r="C267" s="2"/>
      <c r="D267" s="81"/>
      <c r="E267" s="2"/>
      <c r="F267" s="2"/>
      <c r="G267" s="2"/>
    </row>
    <row r="268" spans="1:8" s="12" customFormat="1">
      <c r="A268" s="81"/>
      <c r="B268" s="35"/>
      <c r="C268" s="2"/>
      <c r="D268" s="81"/>
      <c r="E268" s="2"/>
      <c r="F268" s="2"/>
      <c r="G268" s="2"/>
    </row>
    <row r="269" spans="1:8" s="12" customFormat="1">
      <c r="A269" s="81"/>
      <c r="B269" s="35"/>
      <c r="C269" s="2"/>
      <c r="D269" s="81"/>
      <c r="E269" s="2"/>
      <c r="F269" s="2"/>
      <c r="G269" s="2"/>
    </row>
    <row r="270" spans="1:8" s="12" customFormat="1">
      <c r="A270" s="81"/>
      <c r="B270" s="35"/>
      <c r="C270" s="2"/>
      <c r="D270" s="81"/>
      <c r="E270" s="2"/>
      <c r="F270" s="2"/>
      <c r="G270" s="2"/>
      <c r="H270" s="36"/>
    </row>
    <row r="271" spans="1:8" s="12" customFormat="1">
      <c r="A271" s="81"/>
      <c r="B271" s="35"/>
      <c r="C271" s="2"/>
      <c r="D271" s="81"/>
      <c r="E271" s="2"/>
      <c r="F271" s="2"/>
      <c r="G271" s="2"/>
      <c r="H271" s="36"/>
    </row>
    <row r="272" spans="1:8" s="12" customFormat="1">
      <c r="A272" s="81"/>
      <c r="B272" s="35"/>
      <c r="C272" s="2"/>
      <c r="D272" s="81"/>
      <c r="E272" s="2"/>
      <c r="F272" s="2"/>
      <c r="G272" s="2"/>
      <c r="H272" s="36"/>
    </row>
    <row r="273" spans="1:8" s="12" customFormat="1">
      <c r="A273" s="81"/>
      <c r="B273" s="35"/>
      <c r="C273" s="2"/>
      <c r="D273" s="81"/>
      <c r="E273" s="2"/>
      <c r="F273" s="2"/>
      <c r="G273" s="2"/>
      <c r="H273" s="36"/>
    </row>
    <row r="274" spans="1:8" s="12" customFormat="1">
      <c r="A274" s="81"/>
      <c r="B274" s="35"/>
      <c r="C274" s="2"/>
      <c r="D274" s="81"/>
      <c r="E274" s="2"/>
      <c r="F274" s="2"/>
      <c r="G274" s="2"/>
      <c r="H274" s="36"/>
    </row>
    <row r="275" spans="1:8" s="12" customFormat="1">
      <c r="A275" s="81"/>
      <c r="B275" s="35"/>
      <c r="C275" s="2"/>
      <c r="D275" s="81"/>
      <c r="E275" s="2"/>
      <c r="F275" s="2"/>
      <c r="G275" s="2"/>
      <c r="H275" s="36"/>
    </row>
    <row r="276" spans="1:8" s="12" customFormat="1">
      <c r="A276" s="81"/>
      <c r="B276" s="35"/>
      <c r="C276" s="2"/>
      <c r="D276" s="81"/>
      <c r="E276" s="2"/>
      <c r="F276" s="2"/>
      <c r="G276" s="2"/>
      <c r="H276" s="36"/>
    </row>
    <row r="277" spans="1:8" s="12" customFormat="1">
      <c r="A277" s="81"/>
      <c r="B277" s="35"/>
      <c r="C277" s="2"/>
      <c r="D277" s="81"/>
      <c r="E277" s="2"/>
      <c r="F277" s="2"/>
      <c r="G277" s="2"/>
      <c r="H277" s="36"/>
    </row>
    <row r="278" spans="1:8" s="12" customFormat="1">
      <c r="A278" s="81"/>
      <c r="B278" s="35"/>
      <c r="C278" s="2"/>
      <c r="D278" s="81"/>
      <c r="E278" s="2"/>
      <c r="F278" s="2"/>
      <c r="G278" s="2"/>
      <c r="H278" s="36"/>
    </row>
    <row r="279" spans="1:8" s="12" customFormat="1">
      <c r="A279" s="81"/>
      <c r="B279" s="35"/>
      <c r="C279" s="2"/>
      <c r="D279" s="81"/>
      <c r="E279" s="2"/>
      <c r="F279" s="2"/>
      <c r="G279" s="2"/>
      <c r="H279" s="36"/>
    </row>
    <row r="280" spans="1:8" s="12" customFormat="1">
      <c r="A280" s="81"/>
      <c r="B280" s="35"/>
      <c r="C280" s="2"/>
      <c r="D280" s="81"/>
      <c r="E280" s="2"/>
      <c r="F280" s="2"/>
      <c r="G280" s="2"/>
      <c r="H280" s="36"/>
    </row>
    <row r="281" spans="1:8" s="12" customFormat="1">
      <c r="A281" s="81"/>
      <c r="B281" s="35"/>
      <c r="C281" s="2"/>
      <c r="D281" s="81"/>
      <c r="E281" s="2"/>
      <c r="F281" s="2"/>
      <c r="G281" s="2"/>
      <c r="H281" s="36"/>
    </row>
    <row r="282" spans="1:8" s="12" customFormat="1">
      <c r="A282" s="81"/>
      <c r="B282" s="35"/>
      <c r="C282" s="2"/>
      <c r="D282" s="81"/>
      <c r="E282" s="2"/>
      <c r="F282" s="2"/>
      <c r="G282" s="2"/>
      <c r="H282" s="37"/>
    </row>
    <row r="283" spans="1:8" s="12" customFormat="1">
      <c r="A283" s="81"/>
      <c r="B283" s="35"/>
      <c r="C283" s="2"/>
      <c r="D283" s="81"/>
      <c r="E283" s="2"/>
      <c r="F283" s="2"/>
      <c r="G283" s="2"/>
      <c r="H283" s="37"/>
    </row>
    <row r="284" spans="1:8" s="12" customFormat="1">
      <c r="A284" s="81"/>
      <c r="B284" s="35"/>
      <c r="C284" s="2"/>
      <c r="D284" s="81"/>
      <c r="E284" s="2"/>
      <c r="F284" s="2"/>
      <c r="G284" s="2"/>
      <c r="H284" s="37"/>
    </row>
    <row r="285" spans="1:8" s="12" customFormat="1">
      <c r="A285" s="81"/>
      <c r="B285" s="35"/>
      <c r="C285" s="2"/>
      <c r="D285" s="81"/>
      <c r="E285" s="2"/>
      <c r="F285" s="2"/>
      <c r="G285" s="2"/>
      <c r="H285" s="36"/>
    </row>
    <row r="286" spans="1:8" s="12" customFormat="1">
      <c r="A286" s="81"/>
      <c r="B286" s="35"/>
      <c r="C286" s="2"/>
      <c r="D286" s="81"/>
      <c r="E286" s="2"/>
      <c r="F286" s="2"/>
      <c r="G286" s="2"/>
      <c r="H286" s="36"/>
    </row>
    <row r="287" spans="1:8" s="12" customFormat="1">
      <c r="A287" s="81"/>
      <c r="B287" s="35"/>
      <c r="C287" s="2"/>
      <c r="D287" s="81"/>
      <c r="E287" s="2"/>
      <c r="F287" s="2"/>
      <c r="G287" s="2"/>
      <c r="H287" s="36"/>
    </row>
    <row r="288" spans="1:8" s="12" customFormat="1">
      <c r="A288" s="81"/>
      <c r="B288" s="35"/>
      <c r="C288" s="2"/>
      <c r="D288" s="81"/>
      <c r="E288" s="2"/>
      <c r="F288" s="2"/>
      <c r="G288" s="2"/>
      <c r="H288" s="36"/>
    </row>
    <row r="289" spans="1:8" s="12" customFormat="1">
      <c r="A289" s="81"/>
      <c r="B289" s="35"/>
      <c r="C289" s="2"/>
      <c r="D289" s="81"/>
      <c r="E289" s="2"/>
      <c r="F289" s="2"/>
      <c r="G289" s="2"/>
      <c r="H289" s="36"/>
    </row>
    <row r="290" spans="1:8" s="12" customFormat="1">
      <c r="A290" s="81"/>
      <c r="B290" s="35"/>
      <c r="C290" s="2"/>
      <c r="D290" s="81"/>
      <c r="E290" s="2"/>
      <c r="F290" s="2"/>
      <c r="G290" s="2"/>
      <c r="H290" s="36"/>
    </row>
    <row r="291" spans="1:8" s="12" customFormat="1">
      <c r="A291" s="81"/>
      <c r="B291" s="35"/>
      <c r="C291" s="2"/>
      <c r="D291" s="81"/>
      <c r="E291" s="2"/>
      <c r="F291" s="2"/>
      <c r="G291" s="2"/>
      <c r="H291" s="36"/>
    </row>
    <row r="292" spans="1:8" s="12" customFormat="1">
      <c r="A292" s="81"/>
      <c r="B292" s="35"/>
      <c r="C292" s="2"/>
      <c r="D292" s="81"/>
      <c r="E292" s="2"/>
      <c r="F292" s="2"/>
      <c r="G292" s="2"/>
      <c r="H292" s="36"/>
    </row>
    <row r="293" spans="1:8" s="12" customFormat="1">
      <c r="A293" s="81"/>
      <c r="B293" s="35"/>
      <c r="C293" s="2"/>
      <c r="D293" s="81"/>
      <c r="E293" s="2"/>
      <c r="F293" s="2"/>
      <c r="G293" s="2"/>
      <c r="H293" s="36"/>
    </row>
    <row r="294" spans="1:8" s="12" customFormat="1">
      <c r="A294" s="81"/>
      <c r="B294" s="35"/>
      <c r="C294" s="2"/>
      <c r="D294" s="81"/>
      <c r="E294" s="2"/>
      <c r="F294" s="2"/>
      <c r="G294" s="2"/>
      <c r="H294" s="36"/>
    </row>
    <row r="295" spans="1:8" s="12" customFormat="1">
      <c r="A295" s="81"/>
      <c r="B295" s="35"/>
      <c r="C295" s="2"/>
      <c r="D295" s="81"/>
      <c r="E295" s="2"/>
      <c r="F295" s="2"/>
      <c r="G295" s="2"/>
      <c r="H295" s="36"/>
    </row>
    <row r="296" spans="1:8" s="12" customFormat="1">
      <c r="A296" s="81"/>
      <c r="B296" s="35"/>
      <c r="C296" s="2"/>
      <c r="D296" s="81"/>
      <c r="E296" s="2"/>
      <c r="F296" s="2"/>
      <c r="G296" s="2"/>
      <c r="H296" s="36"/>
    </row>
    <row r="297" spans="1:8" s="12" customFormat="1">
      <c r="A297" s="81"/>
      <c r="B297" s="35"/>
      <c r="C297" s="2"/>
      <c r="D297" s="81"/>
      <c r="E297" s="2"/>
      <c r="F297" s="2"/>
      <c r="G297" s="2"/>
      <c r="H297" s="36"/>
    </row>
    <row r="298" spans="1:8" s="12" customFormat="1">
      <c r="A298" s="81"/>
      <c r="B298" s="35"/>
      <c r="C298" s="2"/>
      <c r="D298" s="81"/>
      <c r="E298" s="2"/>
      <c r="F298" s="2"/>
      <c r="G298" s="2"/>
      <c r="H298" s="36"/>
    </row>
    <row r="299" spans="1:8" s="12" customFormat="1">
      <c r="A299" s="81"/>
      <c r="B299" s="35"/>
      <c r="C299" s="2"/>
      <c r="D299" s="81"/>
      <c r="E299" s="2"/>
      <c r="F299" s="2"/>
      <c r="G299" s="2"/>
      <c r="H299" s="36"/>
    </row>
    <row r="300" spans="1:8" s="12" customFormat="1">
      <c r="A300" s="81"/>
      <c r="B300" s="35"/>
      <c r="C300" s="2"/>
      <c r="D300" s="81"/>
      <c r="E300" s="2"/>
      <c r="F300" s="2"/>
      <c r="G300" s="2"/>
      <c r="H300" s="36"/>
    </row>
    <row r="301" spans="1:8" s="12" customFormat="1">
      <c r="A301" s="81"/>
      <c r="B301" s="35"/>
      <c r="C301" s="2"/>
      <c r="D301" s="81"/>
      <c r="E301" s="2"/>
      <c r="F301" s="2"/>
      <c r="G301" s="2"/>
      <c r="H301" s="36"/>
    </row>
    <row r="302" spans="1:8" s="12" customFormat="1">
      <c r="A302" s="81"/>
      <c r="B302" s="35"/>
      <c r="C302" s="2"/>
      <c r="D302" s="81"/>
      <c r="E302" s="2"/>
      <c r="F302" s="2"/>
      <c r="G302" s="2"/>
      <c r="H302" s="36"/>
    </row>
    <row r="303" spans="1:8" s="12" customFormat="1">
      <c r="A303" s="81"/>
      <c r="B303" s="35"/>
      <c r="C303" s="2"/>
      <c r="D303" s="81"/>
      <c r="E303" s="2"/>
      <c r="F303" s="2"/>
      <c r="G303" s="2"/>
      <c r="H303" s="36"/>
    </row>
    <row r="304" spans="1:8" s="12" customFormat="1">
      <c r="A304" s="81"/>
      <c r="B304" s="35"/>
      <c r="C304" s="2"/>
      <c r="D304" s="81"/>
      <c r="E304" s="2"/>
      <c r="F304" s="2"/>
      <c r="G304" s="2"/>
      <c r="H304" s="36"/>
    </row>
    <row r="305" spans="1:9" s="12" customFormat="1">
      <c r="A305" s="81"/>
      <c r="B305" s="35"/>
      <c r="C305" s="2"/>
      <c r="D305" s="81"/>
      <c r="E305" s="2"/>
      <c r="F305" s="2"/>
      <c r="G305" s="2"/>
      <c r="H305" s="38"/>
    </row>
    <row r="306" spans="1:9" s="12" customFormat="1">
      <c r="A306" s="81"/>
      <c r="B306" s="35"/>
      <c r="C306" s="2"/>
      <c r="D306" s="81"/>
      <c r="E306" s="2"/>
      <c r="F306" s="2"/>
      <c r="G306" s="2"/>
      <c r="I306" s="39"/>
    </row>
    <row r="307" spans="1:9" s="12" customFormat="1">
      <c r="A307" s="81"/>
      <c r="B307" s="35"/>
      <c r="C307" s="2"/>
      <c r="D307" s="81"/>
      <c r="E307" s="2"/>
      <c r="F307" s="2"/>
      <c r="G307" s="2"/>
      <c r="I307" s="40"/>
    </row>
    <row r="308" spans="1:9" s="12" customFormat="1">
      <c r="A308" s="81"/>
      <c r="B308" s="35"/>
      <c r="C308" s="2"/>
      <c r="D308" s="81"/>
      <c r="E308" s="2"/>
      <c r="F308" s="2"/>
      <c r="G308" s="2"/>
    </row>
    <row r="309" spans="1:9" s="12" customFormat="1">
      <c r="A309" s="81"/>
      <c r="B309" s="35"/>
      <c r="C309" s="2"/>
      <c r="D309" s="81"/>
      <c r="E309" s="2"/>
      <c r="F309" s="2"/>
      <c r="G309" s="2"/>
    </row>
    <row r="310" spans="1:9" s="12" customFormat="1">
      <c r="A310" s="81"/>
      <c r="B310" s="35"/>
      <c r="C310" s="2"/>
      <c r="D310" s="81"/>
      <c r="E310" s="2"/>
      <c r="F310" s="2"/>
      <c r="G310" s="2"/>
    </row>
    <row r="311" spans="1:9" s="12" customFormat="1">
      <c r="A311" s="81"/>
      <c r="B311" s="35"/>
      <c r="C311" s="2"/>
      <c r="D311" s="81"/>
      <c r="E311" s="2"/>
      <c r="F311" s="2"/>
      <c r="G311" s="2"/>
    </row>
    <row r="312" spans="1:9" s="12" customFormat="1">
      <c r="A312" s="81"/>
      <c r="B312" s="35"/>
      <c r="C312" s="2"/>
      <c r="D312" s="81"/>
      <c r="E312" s="2"/>
      <c r="F312" s="2"/>
      <c r="G312" s="2"/>
    </row>
  </sheetData>
  <mergeCells count="17">
    <mergeCell ref="E252:F252"/>
    <mergeCell ref="E249:G249"/>
    <mergeCell ref="E248:G248"/>
    <mergeCell ref="E247:G247"/>
    <mergeCell ref="E250:G250"/>
    <mergeCell ref="A243:E243"/>
    <mergeCell ref="B6:E6"/>
    <mergeCell ref="B5:G5"/>
    <mergeCell ref="D8:G8"/>
    <mergeCell ref="E251:F251"/>
    <mergeCell ref="A245:C245"/>
    <mergeCell ref="A9:A10"/>
    <mergeCell ref="B9:B10"/>
    <mergeCell ref="C9:C10"/>
    <mergeCell ref="D9:D10"/>
    <mergeCell ref="E9:E10"/>
    <mergeCell ref="B7:E7"/>
  </mergeCells>
  <phoneticPr fontId="11" type="noConversion"/>
  <printOptions horizontalCentered="1" verticalCentered="1"/>
  <pageMargins left="0.39370078740157483" right="0.39370078740157483" top="0.78740157480314965" bottom="0.98425196850393704" header="0.51181102362204722" footer="0.51181102362204722"/>
  <pageSetup paperSize="9" scale="59" fitToHeight="0" orientation="landscape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H39"/>
  <sheetViews>
    <sheetView topLeftCell="B1" workbookViewId="0">
      <selection activeCell="B9" sqref="B9:E32"/>
    </sheetView>
  </sheetViews>
  <sheetFormatPr defaultRowHeight="12.75"/>
  <cols>
    <col min="1" max="1" width="4.5703125" customWidth="1"/>
    <col min="2" max="2" width="10.5703125" customWidth="1"/>
    <col min="3" max="3" width="55.5703125" customWidth="1"/>
    <col min="4" max="4" width="12.42578125" customWidth="1"/>
    <col min="5" max="5" width="9.140625" customWidth="1"/>
  </cols>
  <sheetData>
    <row r="9" spans="2:5" ht="14.25">
      <c r="C9" s="59" t="s">
        <v>411</v>
      </c>
    </row>
    <row r="10" spans="2:5" ht="14.25">
      <c r="B10" s="60"/>
    </row>
    <row r="11" spans="2:5" ht="15.75">
      <c r="B11" s="71" t="s">
        <v>483</v>
      </c>
      <c r="C11" s="61"/>
    </row>
    <row r="12" spans="2:5" ht="47.25" customHeight="1">
      <c r="B12" s="384" t="s">
        <v>901</v>
      </c>
      <c r="C12" s="384"/>
      <c r="D12" s="384"/>
      <c r="E12" s="384"/>
    </row>
    <row r="13" spans="2:5" ht="15" thickBot="1">
      <c r="B13" s="62"/>
    </row>
    <row r="14" spans="2:5" ht="13.5" thickBot="1">
      <c r="B14" s="63" t="s">
        <v>412</v>
      </c>
      <c r="C14" s="64" t="s">
        <v>413</v>
      </c>
      <c r="D14" s="64" t="s">
        <v>469</v>
      </c>
      <c r="E14" s="64" t="s">
        <v>414</v>
      </c>
    </row>
    <row r="15" spans="2:5" ht="13.5" thickBot="1">
      <c r="B15" s="65"/>
      <c r="C15" s="66"/>
      <c r="D15" s="66"/>
      <c r="E15" s="66"/>
    </row>
    <row r="16" spans="2:5" ht="13.5" thickBot="1">
      <c r="B16" s="67">
        <v>1</v>
      </c>
      <c r="C16" s="74" t="s">
        <v>416</v>
      </c>
      <c r="D16" s="74" t="s">
        <v>470</v>
      </c>
      <c r="E16" s="75">
        <v>3.95E-2</v>
      </c>
    </row>
    <row r="17" spans="2:5" ht="13.5" thickBot="1">
      <c r="B17" s="67">
        <v>2</v>
      </c>
      <c r="C17" s="74" t="s">
        <v>471</v>
      </c>
      <c r="D17" s="74" t="s">
        <v>472</v>
      </c>
      <c r="E17" s="75">
        <v>5.0000000000000001E-3</v>
      </c>
    </row>
    <row r="18" spans="2:5" ht="13.5" thickBot="1">
      <c r="B18" s="67">
        <v>3</v>
      </c>
      <c r="C18" s="74" t="s">
        <v>415</v>
      </c>
      <c r="D18" s="74" t="s">
        <v>473</v>
      </c>
      <c r="E18" s="75">
        <v>5.1999999999999998E-3</v>
      </c>
    </row>
    <row r="19" spans="2:5" ht="13.5" thickBot="1">
      <c r="B19" s="67">
        <v>4</v>
      </c>
      <c r="C19" s="74" t="s">
        <v>474</v>
      </c>
      <c r="D19" s="74" t="s">
        <v>475</v>
      </c>
      <c r="E19" s="75">
        <v>0.01</v>
      </c>
    </row>
    <row r="20" spans="2:5" ht="13.5" thickBot="1">
      <c r="B20" s="67">
        <v>5</v>
      </c>
      <c r="C20" s="74" t="s">
        <v>417</v>
      </c>
      <c r="D20" s="74" t="s">
        <v>476</v>
      </c>
      <c r="E20" s="75">
        <v>7.0000000000000007E-2</v>
      </c>
    </row>
    <row r="21" spans="2:5" ht="13.5" thickBot="1">
      <c r="B21" s="67">
        <v>6</v>
      </c>
      <c r="C21" s="74" t="s">
        <v>477</v>
      </c>
      <c r="D21" s="74" t="s">
        <v>466</v>
      </c>
      <c r="E21" s="75">
        <v>3.6499999999999998E-2</v>
      </c>
    </row>
    <row r="22" spans="2:5" ht="13.5" thickBot="1">
      <c r="B22" s="67">
        <v>7</v>
      </c>
      <c r="C22" s="74" t="s">
        <v>478</v>
      </c>
      <c r="D22" s="74" t="s">
        <v>467</v>
      </c>
      <c r="E22" s="75">
        <v>0.05</v>
      </c>
    </row>
    <row r="23" spans="2:5" ht="13.5" thickBot="1">
      <c r="B23" s="67">
        <v>8</v>
      </c>
      <c r="C23" s="74" t="s">
        <v>479</v>
      </c>
      <c r="D23" s="74" t="s">
        <v>468</v>
      </c>
      <c r="E23" s="76">
        <v>0</v>
      </c>
    </row>
    <row r="24" spans="2:5" ht="13.5" thickBot="1">
      <c r="B24" s="67"/>
      <c r="C24" s="68"/>
      <c r="D24" s="68"/>
      <c r="E24" s="69"/>
    </row>
    <row r="25" spans="2:5" ht="13.5" thickBot="1">
      <c r="B25" s="67"/>
      <c r="C25" s="68" t="s">
        <v>480</v>
      </c>
      <c r="D25" s="68"/>
      <c r="E25" s="69">
        <v>0.24179999999999999</v>
      </c>
    </row>
    <row r="26" spans="2:5" ht="14.25">
      <c r="B26" s="70"/>
    </row>
    <row r="27" spans="2:5" ht="14.25">
      <c r="B27" s="70"/>
    </row>
    <row r="28" spans="2:5" ht="14.25">
      <c r="B28" s="70"/>
    </row>
    <row r="29" spans="2:5" ht="63" customHeight="1">
      <c r="B29" s="70"/>
    </row>
    <row r="30" spans="2:5" ht="14.25">
      <c r="C30" s="70" t="s">
        <v>896</v>
      </c>
    </row>
    <row r="31" spans="2:5" ht="14.25">
      <c r="C31" s="70" t="s">
        <v>897</v>
      </c>
    </row>
    <row r="32" spans="2:5" ht="14.25">
      <c r="C32" s="70" t="s">
        <v>418</v>
      </c>
    </row>
    <row r="39" spans="8:8">
      <c r="H39" s="242" t="s">
        <v>860</v>
      </c>
    </row>
  </sheetData>
  <mergeCells count="1">
    <mergeCell ref="B12:E12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Header>&amp;L&amp;G&amp;C&amp;"Times New Roman,Negrito itálico"&amp;17Prefeitura munipal de Itaí</oddHeader>
    <oddFooter>&amp;C&amp;"Times New Roman,Normal"&amp;7Praça da Bandeira, 1038 – Itaí – SP – cep:18730-000 – CNPJ. 46.634.200/0001-05 – fone: (14)3761-9200 – www.itai.sp.gov.br - engenharia@itai.sp.gov.br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A1:S240"/>
  <sheetViews>
    <sheetView view="pageBreakPreview" zoomScaleNormal="100" zoomScaleSheetLayoutView="100" workbookViewId="0">
      <selection activeCell="G249" sqref="G249"/>
    </sheetView>
  </sheetViews>
  <sheetFormatPr defaultRowHeight="12.75"/>
  <cols>
    <col min="1" max="1" width="8.85546875" style="103" customWidth="1"/>
    <col min="2" max="2" width="9.85546875" style="103" customWidth="1"/>
    <col min="3" max="3" width="70.140625" style="103" customWidth="1"/>
    <col min="4" max="4" width="73.7109375" style="102" customWidth="1"/>
    <col min="5" max="5" width="13.140625" style="105" bestFit="1" customWidth="1"/>
    <col min="6" max="6" width="9.5703125" style="105" customWidth="1"/>
    <col min="7" max="7" width="45" customWidth="1"/>
    <col min="9" max="9" width="6.42578125" bestFit="1" customWidth="1"/>
    <col min="14" max="14" width="3" customWidth="1"/>
  </cols>
  <sheetData>
    <row r="1" spans="1:19">
      <c r="A1" s="385" t="s">
        <v>904</v>
      </c>
      <c r="B1" s="386"/>
      <c r="C1" s="386"/>
      <c r="D1" s="386"/>
      <c r="E1" s="386"/>
      <c r="F1" s="308"/>
      <c r="G1" s="53"/>
      <c r="H1" s="53"/>
      <c r="I1" s="53"/>
    </row>
    <row r="2" spans="1:19">
      <c r="A2" s="309" t="s">
        <v>8</v>
      </c>
      <c r="B2" s="299" t="s">
        <v>13</v>
      </c>
      <c r="C2" s="299" t="s">
        <v>9</v>
      </c>
      <c r="D2" s="299" t="s">
        <v>10</v>
      </c>
      <c r="E2" s="299" t="s">
        <v>11</v>
      </c>
      <c r="F2" s="310" t="s">
        <v>12</v>
      </c>
      <c r="G2" s="53"/>
      <c r="H2" s="53"/>
      <c r="I2" s="53"/>
    </row>
    <row r="3" spans="1:19">
      <c r="A3" s="311" t="str">
        <f>'PLANILHA 011017'!A12</f>
        <v>01.00</v>
      </c>
      <c r="B3" s="89"/>
      <c r="C3" s="111" t="str">
        <f>'PLANILHA 011017'!C12</f>
        <v>SERVIÇOS PRELIMINARES</v>
      </c>
      <c r="D3" s="90"/>
      <c r="E3" s="91"/>
      <c r="F3" s="312"/>
      <c r="G3" s="53"/>
      <c r="H3" s="53"/>
      <c r="I3" s="53"/>
    </row>
    <row r="4" spans="1:19">
      <c r="A4" s="313" t="str">
        <f>'PLANILHA 011017'!A13</f>
        <v>01.01</v>
      </c>
      <c r="B4" s="92" t="str">
        <f>'PLANILHA 011017'!B13</f>
        <v>02.03.120</v>
      </c>
      <c r="C4" s="92" t="str">
        <f>'PLANILHA 011017'!C13</f>
        <v>Tapume fixo para fechamento de áreas, com portão</v>
      </c>
      <c r="D4" s="90" t="s">
        <v>872</v>
      </c>
      <c r="E4" s="91">
        <f>42+17.05*2.2</f>
        <v>79.510000000000005</v>
      </c>
      <c r="F4" s="312" t="str">
        <f>'PLANILHA 011017'!D13</f>
        <v>M2</v>
      </c>
      <c r="G4" s="53"/>
      <c r="H4" s="53"/>
      <c r="I4" s="53"/>
    </row>
    <row r="5" spans="1:19">
      <c r="A5" s="313" t="str">
        <f>'PLANILHA 011017'!A14</f>
        <v>01.02</v>
      </c>
      <c r="B5" s="92" t="str">
        <f>'PLANILHA 011017'!B14</f>
        <v>02.08.020</v>
      </c>
      <c r="C5" s="92" t="str">
        <f>'PLANILHA 011017'!C14</f>
        <v>Placa de identificação para obra</v>
      </c>
      <c r="D5" s="93" t="s">
        <v>655</v>
      </c>
      <c r="E5" s="91">
        <v>5.18</v>
      </c>
      <c r="F5" s="312" t="str">
        <f>'PLANILHA 011017'!D14</f>
        <v>M2</v>
      </c>
      <c r="G5" s="54"/>
      <c r="H5" s="54"/>
      <c r="I5" s="53"/>
    </row>
    <row r="6" spans="1:19">
      <c r="A6" s="313"/>
      <c r="B6" s="92"/>
      <c r="C6" s="92"/>
      <c r="D6" s="94"/>
      <c r="E6" s="91"/>
      <c r="F6" s="312"/>
      <c r="G6" s="53"/>
      <c r="H6" s="53"/>
      <c r="I6" s="53"/>
    </row>
    <row r="7" spans="1:19">
      <c r="A7" s="313"/>
      <c r="B7" s="92"/>
      <c r="C7" s="92"/>
      <c r="D7" s="94"/>
      <c r="E7" s="91"/>
      <c r="F7" s="312"/>
      <c r="G7" s="53"/>
      <c r="H7" s="53"/>
      <c r="I7" s="53"/>
    </row>
    <row r="8" spans="1:19">
      <c r="A8" s="311" t="str">
        <f>'PLANILHA 011017'!A17</f>
        <v>02.00</v>
      </c>
      <c r="B8" s="89"/>
      <c r="C8" s="111" t="str">
        <f>'PLANILHA 011017'!C17</f>
        <v>DEMOLIÇÕES E RETIRADAS</v>
      </c>
      <c r="D8" s="94"/>
      <c r="E8" s="91"/>
      <c r="F8" s="312"/>
      <c r="G8" s="53"/>
      <c r="H8" s="53"/>
      <c r="I8" s="53"/>
    </row>
    <row r="9" spans="1:19">
      <c r="A9" s="313" t="str">
        <f>'PLANILHA 011017'!A18</f>
        <v>02.01</v>
      </c>
      <c r="B9" s="92" t="str">
        <f>'PLANILHA 011017'!B18</f>
        <v>03.01.020</v>
      </c>
      <c r="C9" s="92" t="str">
        <f>'PLANILHA 011017'!C18</f>
        <v>Demolição manual de concreto simples</v>
      </c>
      <c r="D9" s="94" t="s">
        <v>699</v>
      </c>
      <c r="E9" s="91">
        <v>6.75</v>
      </c>
      <c r="F9" s="312" t="str">
        <f>'PLANILHA 011017'!D18</f>
        <v>M3</v>
      </c>
      <c r="G9" s="53"/>
      <c r="H9" s="53"/>
      <c r="I9" s="53"/>
    </row>
    <row r="10" spans="1:19">
      <c r="A10" s="313" t="str">
        <f>'PLANILHA 011017'!A19</f>
        <v>02.02</v>
      </c>
      <c r="B10" s="92" t="str">
        <f>'PLANILHA 011017'!B19</f>
        <v>03.02.020</v>
      </c>
      <c r="C10" s="109" t="str">
        <f>'PLANILHA 011017'!C19</f>
        <v>Demolição manual de alvenaria de fundação/embasamento</v>
      </c>
      <c r="D10" s="94" t="s">
        <v>700</v>
      </c>
      <c r="E10" s="95">
        <v>0.45</v>
      </c>
      <c r="F10" s="312" t="str">
        <f>'PLANILHA 011017'!D19</f>
        <v>M3</v>
      </c>
      <c r="G10" s="53"/>
      <c r="H10" s="53"/>
      <c r="I10" s="53"/>
    </row>
    <row r="11" spans="1:19" ht="25.5">
      <c r="A11" s="313" t="str">
        <f>'PLANILHA 011017'!A20</f>
        <v>02.03</v>
      </c>
      <c r="B11" s="92" t="str">
        <f>'PLANILHA 011017'!B20</f>
        <v>03.02.040</v>
      </c>
      <c r="C11" s="109" t="str">
        <f>'PLANILHA 011017'!C20</f>
        <v>Demolição manual de alvenaria de elevação ou elemento vazado, incluindo revestimento</v>
      </c>
      <c r="D11" s="94" t="s">
        <v>862</v>
      </c>
      <c r="E11" s="95">
        <f>ROUND(27.09+0.18*1.7,2)</f>
        <v>27.4</v>
      </c>
      <c r="F11" s="312" t="str">
        <f>'PLANILHA 011017'!D20</f>
        <v>M3</v>
      </c>
      <c r="G11" s="53"/>
      <c r="H11" s="53"/>
      <c r="I11" s="53"/>
    </row>
    <row r="12" spans="1:19" ht="38.25">
      <c r="A12" s="314" t="str">
        <f>'PLANILHA 011017'!A21</f>
        <v>02.04</v>
      </c>
      <c r="B12" s="109" t="str">
        <f>'PLANILHA 011017'!B21</f>
        <v>03.03.040</v>
      </c>
      <c r="C12" s="109" t="str">
        <f>'PLANILHA 011017'!C21</f>
        <v>Demolição manual de revestimento em massa de parede ou teto</v>
      </c>
      <c r="D12" s="93" t="s">
        <v>782</v>
      </c>
      <c r="E12" s="159">
        <f>ROUND((0.3*3+0.1)*0.1+(0.3*3+0.4)*0.9+0.3*1.5*12+0.3*3*8+(0.3*3+0.2)*1.65+10.2*1.85+0.16,2)</f>
        <v>34.72</v>
      </c>
      <c r="F12" s="315" t="str">
        <f>'PLANILHA 011017'!D21</f>
        <v>M2</v>
      </c>
      <c r="G12" s="53"/>
      <c r="H12" s="53"/>
      <c r="I12" s="53"/>
    </row>
    <row r="13" spans="1:19" ht="25.5">
      <c r="A13" s="313" t="str">
        <f>'PLANILHA 011017'!A22</f>
        <v>02.05</v>
      </c>
      <c r="B13" s="92" t="str">
        <f>'PLANILHA 011017'!B22</f>
        <v>03.04.020</v>
      </c>
      <c r="C13" s="92" t="str">
        <f>'PLANILHA 011017'!C22</f>
        <v>Demolição manual de revestimento cerâmico, incluindo a base</v>
      </c>
      <c r="D13" s="93" t="s">
        <v>776</v>
      </c>
      <c r="E13" s="95">
        <f>ROUND(390.77+98.49,2)</f>
        <v>489.26</v>
      </c>
      <c r="F13" s="312" t="str">
        <f>'PLANILHA 011017'!D22</f>
        <v>M2</v>
      </c>
      <c r="G13" s="53"/>
      <c r="H13" s="53"/>
      <c r="I13" s="53"/>
    </row>
    <row r="14" spans="1:19" ht="24" customHeight="1">
      <c r="A14" s="313" t="str">
        <f>'PLANILHA 011017'!A23</f>
        <v>02.06</v>
      </c>
      <c r="B14" s="92" t="str">
        <f>'PLANILHA 011017'!B23</f>
        <v>03.10.100</v>
      </c>
      <c r="C14" s="109" t="str">
        <f>'PLANILHA 011017'!C23</f>
        <v>Remoção de pintura em superfícies de madeira e/ou metálicas com lixamento</v>
      </c>
      <c r="D14" s="101" t="s">
        <v>702</v>
      </c>
      <c r="E14" s="102">
        <f>ROUND(0.36*25.3*6*2+0.1*0.5*41*6*2+0.185*18*24.3*2,2)</f>
        <v>295.73</v>
      </c>
      <c r="F14" s="312" t="str">
        <f>'PLANILHA 011017'!D23</f>
        <v>M2</v>
      </c>
      <c r="G14" s="53"/>
      <c r="H14" s="53"/>
      <c r="I14" s="53"/>
    </row>
    <row r="15" spans="1:19" s="133" customFormat="1">
      <c r="A15" s="316" t="str">
        <f>'PLANILHA 011017'!A24</f>
        <v>02.07</v>
      </c>
      <c r="B15" s="163" t="str">
        <f>'PLANILHA 011017'!B24</f>
        <v>03.10.140</v>
      </c>
      <c r="C15" s="163" t="str">
        <f>'PLANILHA 011017'!C24</f>
        <v>Remoção de pintura em massa com lixamento</v>
      </c>
      <c r="D15" s="164" t="s">
        <v>877</v>
      </c>
      <c r="E15" s="165">
        <v>1174.57</v>
      </c>
      <c r="F15" s="317" t="str">
        <f>'PLANILHA 011017'!D24</f>
        <v>M2</v>
      </c>
      <c r="O15" s="134"/>
      <c r="P15" s="135"/>
      <c r="Q15" s="135"/>
      <c r="R15" s="136"/>
      <c r="S15" s="137"/>
    </row>
    <row r="16" spans="1:19">
      <c r="A16" s="313" t="str">
        <f>'PLANILHA 011017'!A25</f>
        <v>02.08</v>
      </c>
      <c r="B16" s="92" t="str">
        <f>'PLANILHA 011017'!B25</f>
        <v>04.02.140</v>
      </c>
      <c r="C16" s="109" t="str">
        <f>'PLANILHA 011017'!C25</f>
        <v>Retirada de estrutura metálica</v>
      </c>
      <c r="D16" s="94" t="s">
        <v>701</v>
      </c>
      <c r="E16" s="95">
        <f>ROUND(8*24.3*27.4/6,2)</f>
        <v>887.76</v>
      </c>
      <c r="F16" s="312" t="str">
        <f>'PLANILHA 011017'!D25</f>
        <v>KG</v>
      </c>
      <c r="G16" s="73"/>
      <c r="H16" s="73"/>
      <c r="I16" s="73"/>
      <c r="O16" s="387"/>
      <c r="P16" s="388"/>
      <c r="Q16" s="388"/>
      <c r="R16" s="388"/>
      <c r="S16" s="389"/>
    </row>
    <row r="17" spans="1:19" s="130" customFormat="1">
      <c r="A17" s="314" t="str">
        <f>'PLANILHA 011017'!A26</f>
        <v>02.09</v>
      </c>
      <c r="B17" s="109" t="str">
        <f>'PLANILHA 011017'!B26</f>
        <v>04.03.040</v>
      </c>
      <c r="C17" s="109" t="str">
        <f>'PLANILHA 011017'!C26</f>
        <v>Retirada de telhamento perfil e material qualquer, exceto barro</v>
      </c>
      <c r="D17" s="158" t="s">
        <v>869</v>
      </c>
      <c r="E17" s="159">
        <v>81</v>
      </c>
      <c r="F17" s="315" t="str">
        <f>'PLANILHA 011017'!D26</f>
        <v>M2</v>
      </c>
      <c r="G17" s="152"/>
      <c r="H17" s="152"/>
      <c r="I17" s="152"/>
      <c r="O17" s="153"/>
      <c r="P17" s="154"/>
      <c r="Q17" s="154"/>
      <c r="R17" s="155"/>
      <c r="S17" s="156"/>
    </row>
    <row r="18" spans="1:19" ht="25.5">
      <c r="A18" s="313" t="str">
        <f>'PLANILHA 011017'!A27</f>
        <v>02.10</v>
      </c>
      <c r="B18" s="92" t="str">
        <f>'PLANILHA 011017'!B27</f>
        <v>04.08.020</v>
      </c>
      <c r="C18" s="92" t="str">
        <f>'PLANILHA 011017'!C27</f>
        <v>Retirada de folha de esquadria em madeira</v>
      </c>
      <c r="D18" s="94" t="s">
        <v>703</v>
      </c>
      <c r="E18" s="95">
        <v>4</v>
      </c>
      <c r="F18" s="312" t="str">
        <f>'PLANILHA 011017'!D27</f>
        <v>UN</v>
      </c>
      <c r="H18" s="53"/>
      <c r="I18" s="53"/>
      <c r="O18" s="55"/>
      <c r="P18" s="56"/>
      <c r="Q18" s="56"/>
      <c r="R18" s="58"/>
      <c r="S18" s="57"/>
    </row>
    <row r="19" spans="1:19" s="130" customFormat="1" ht="25.5">
      <c r="A19" s="314" t="str">
        <f>'PLANILHA 011017'!A28</f>
        <v>02.11</v>
      </c>
      <c r="B19" s="109" t="str">
        <f>'PLANILHA 011017'!B28</f>
        <v>04.08.060</v>
      </c>
      <c r="C19" s="109" t="str">
        <f>'PLANILHA 011017'!C28</f>
        <v>Retirada de batente com guarnição e peças lineares em madeira, chumbados</v>
      </c>
      <c r="D19" s="158" t="s">
        <v>704</v>
      </c>
      <c r="E19" s="159">
        <f>4*5+1*5.1+6*4.8</f>
        <v>53.9</v>
      </c>
      <c r="F19" s="315" t="str">
        <f>'PLANILHA 011017'!D28</f>
        <v>M</v>
      </c>
      <c r="G19" s="129"/>
      <c r="H19" s="129"/>
      <c r="I19" s="129"/>
    </row>
    <row r="20" spans="1:19" ht="25.5">
      <c r="A20" s="313" t="str">
        <f>'PLANILHA 011017'!A29</f>
        <v>02.12</v>
      </c>
      <c r="B20" s="92" t="str">
        <f>'PLANILHA 011017'!B29</f>
        <v>04.09.040</v>
      </c>
      <c r="C20" s="92" t="str">
        <f>'PLANILHA 011017'!C29</f>
        <v>Retirada de folha de esquadria metálica</v>
      </c>
      <c r="D20" s="94" t="s">
        <v>705</v>
      </c>
      <c r="E20" s="95">
        <v>11</v>
      </c>
      <c r="F20" s="312" t="str">
        <f>'PLANILHA 011017'!D29</f>
        <v>UN</v>
      </c>
      <c r="G20" s="53"/>
      <c r="H20" s="53"/>
      <c r="I20" s="53"/>
    </row>
    <row r="21" spans="1:19">
      <c r="A21" s="313" t="str">
        <f>'PLANILHA 011017'!A30</f>
        <v>02.13</v>
      </c>
      <c r="B21" s="92" t="str">
        <f>'PLANILHA 011017'!B30</f>
        <v>04.09.060</v>
      </c>
      <c r="C21" s="92" t="str">
        <f>'PLANILHA 011017'!C30</f>
        <v>Retirada de batente, corrimão ou peças lineares metálicas, chumbados</v>
      </c>
      <c r="D21" s="94" t="s">
        <v>706</v>
      </c>
      <c r="E21" s="95">
        <f>2.35+1.6</f>
        <v>3.95</v>
      </c>
      <c r="F21" s="312" t="str">
        <f>'PLANILHA 011017'!D30</f>
        <v>M</v>
      </c>
      <c r="G21" s="53"/>
      <c r="H21" s="53"/>
      <c r="I21" s="53"/>
    </row>
    <row r="22" spans="1:19" ht="38.25">
      <c r="A22" s="313" t="str">
        <f>'PLANILHA 011017'!A31</f>
        <v>02.14</v>
      </c>
      <c r="B22" s="92" t="str">
        <f>'PLANILHA 011017'!B31</f>
        <v>04.09.100</v>
      </c>
      <c r="C22" s="109" t="str">
        <f>'PLANILHA 011017'!C31</f>
        <v>Retirada de guarda-corpo ou gradil em geral</v>
      </c>
      <c r="D22" s="93" t="s">
        <v>867</v>
      </c>
      <c r="E22" s="95">
        <f>ROUND(1*2.1*2+1.1*2.1+1.5*1.3+1*0.45+0.5*21.61+9.48*0.75+1.2*1.4*3+1.2*1.6,2)</f>
        <v>33.79</v>
      </c>
      <c r="F22" s="312" t="str">
        <f>'PLANILHA 011017'!D31</f>
        <v>M2</v>
      </c>
      <c r="G22" s="53"/>
      <c r="H22" s="53"/>
      <c r="I22" s="53"/>
    </row>
    <row r="23" spans="1:19">
      <c r="A23" s="313" t="str">
        <f>'PLANILHA 011017'!A32</f>
        <v>02.15</v>
      </c>
      <c r="B23" s="92" t="str">
        <f>'PLANILHA 011017'!B32</f>
        <v>04.11.020</v>
      </c>
      <c r="C23" s="92" t="str">
        <f>'PLANILHA 011017'!C32</f>
        <v>Retirada de aparelho sanitário incluindo acessórios</v>
      </c>
      <c r="D23" s="93" t="s">
        <v>708</v>
      </c>
      <c r="E23" s="95">
        <v>15</v>
      </c>
      <c r="F23" s="312" t="str">
        <f>'PLANILHA 011017'!D32</f>
        <v>UN</v>
      </c>
      <c r="G23" s="53"/>
      <c r="H23" s="53"/>
      <c r="I23" s="53"/>
    </row>
    <row r="24" spans="1:19">
      <c r="A24" s="313" t="str">
        <f>'PLANILHA 011017'!A33</f>
        <v>02.16</v>
      </c>
      <c r="B24" s="92" t="str">
        <f>'PLANILHA 011017'!B33</f>
        <v>04.11.030</v>
      </c>
      <c r="C24" s="109" t="str">
        <f>'PLANILHA 011017'!C33</f>
        <v>Retirada de bancada incluindo pertences</v>
      </c>
      <c r="D24" s="102" t="s">
        <v>707</v>
      </c>
      <c r="E24" s="102">
        <f>ROUND(2.25*0.55*2,2)</f>
        <v>2.48</v>
      </c>
      <c r="F24" s="312" t="str">
        <f>'PLANILHA 011017'!D33</f>
        <v>M2</v>
      </c>
      <c r="G24" s="53"/>
      <c r="H24" s="53"/>
      <c r="I24" s="53"/>
    </row>
    <row r="25" spans="1:19">
      <c r="A25" s="313" t="str">
        <f>'PLANILHA 011017'!A34</f>
        <v>02.17</v>
      </c>
      <c r="B25" s="92" t="str">
        <f>'PLANILHA 011017'!B34</f>
        <v>04.17.020</v>
      </c>
      <c r="C25" s="109" t="str">
        <f>'PLANILHA 011017'!C34</f>
        <v>Remoção de aparelho de iluminação ou projetor fixo em teto, piso ou parede</v>
      </c>
      <c r="D25" s="97">
        <v>3</v>
      </c>
      <c r="E25" s="104">
        <v>3</v>
      </c>
      <c r="F25" s="312" t="str">
        <f>'PLANILHA 011017'!D34</f>
        <v>UN</v>
      </c>
      <c r="G25" s="53"/>
      <c r="H25" s="53"/>
      <c r="I25" s="53"/>
    </row>
    <row r="26" spans="1:19">
      <c r="A26" s="313" t="str">
        <f>'PLANILHA 011017'!A35</f>
        <v>02.18</v>
      </c>
      <c r="B26" s="92" t="str">
        <f>'PLANILHA 011017'!B35</f>
        <v>04.18.060</v>
      </c>
      <c r="C26" s="109" t="str">
        <f>'PLANILHA 011017'!C35</f>
        <v>Remoção de caixa de entrada de energia padrão medição indireta completa</v>
      </c>
      <c r="D26" s="97">
        <v>2</v>
      </c>
      <c r="E26" s="104">
        <v>2</v>
      </c>
      <c r="F26" s="312" t="str">
        <f>'PLANILHA 011017'!D35</f>
        <v>UN</v>
      </c>
      <c r="G26" s="53"/>
      <c r="H26" s="53"/>
      <c r="I26" s="53"/>
    </row>
    <row r="27" spans="1:19">
      <c r="A27" s="313" t="str">
        <f>'PLANILHA 011017'!A36</f>
        <v>02.19</v>
      </c>
      <c r="B27" s="92" t="str">
        <f>'PLANILHA 011017'!B36</f>
        <v>04.19.020</v>
      </c>
      <c r="C27" s="92" t="str">
        <f>'PLANILHA 011017'!C36</f>
        <v>Remoção de disjuntor de volume normal ou reduzido</v>
      </c>
      <c r="D27" s="97">
        <v>1</v>
      </c>
      <c r="E27" s="104">
        <v>1</v>
      </c>
      <c r="F27" s="312" t="str">
        <f>'PLANILHA 011017'!D36</f>
        <v>UN</v>
      </c>
      <c r="G27" s="53"/>
      <c r="H27" s="53"/>
      <c r="I27" s="53"/>
    </row>
    <row r="28" spans="1:19">
      <c r="A28" s="313" t="str">
        <f>'PLANILHA 011017'!A37</f>
        <v>02.20</v>
      </c>
      <c r="B28" s="92" t="str">
        <f>'PLANILHA 011017'!B37</f>
        <v>04.19.120</v>
      </c>
      <c r="C28" s="109" t="str">
        <f>'PLANILHA 011017'!C37</f>
        <v>Remoção de interruptores, tomadas, botão de campainha ou cigarra</v>
      </c>
      <c r="D28" s="97" t="s">
        <v>709</v>
      </c>
      <c r="E28" s="104">
        <v>47</v>
      </c>
      <c r="F28" s="312"/>
      <c r="G28" s="53"/>
      <c r="H28" s="53"/>
      <c r="I28" s="53"/>
    </row>
    <row r="29" spans="1:19">
      <c r="A29" s="313" t="str">
        <f>'PLANILHA 011017'!A38</f>
        <v>02.21</v>
      </c>
      <c r="B29" s="92" t="str">
        <f>'PLANILHA 011017'!B38</f>
        <v>04.20.040</v>
      </c>
      <c r="C29" s="109" t="str">
        <f>'PLANILHA 011017'!C38</f>
        <v>Remoção de lâmpada</v>
      </c>
      <c r="D29" s="97" t="s">
        <v>710</v>
      </c>
      <c r="E29" s="104">
        <v>43</v>
      </c>
      <c r="F29" s="312" t="str">
        <f>'PLANILHA 011017'!D38</f>
        <v>UN</v>
      </c>
      <c r="G29" s="53"/>
      <c r="H29" s="53"/>
      <c r="I29" s="53"/>
    </row>
    <row r="30" spans="1:19">
      <c r="A30" s="314" t="str">
        <f>'PLANILHA 011017'!A39</f>
        <v>02.22</v>
      </c>
      <c r="B30" s="109" t="str">
        <f>'PLANILHA 011017'!B39</f>
        <v>04.21.160</v>
      </c>
      <c r="C30" s="109" t="str">
        <f>'PLANILHA 011017'!C39</f>
        <v>Remoção de quadro de distribuição, chamada ou caixa de passagem</v>
      </c>
      <c r="D30" s="140" t="s">
        <v>711</v>
      </c>
      <c r="E30" s="106">
        <f>ROUND(0.4*0.6,2)</f>
        <v>0.24</v>
      </c>
      <c r="F30" s="315" t="str">
        <f>'PLANILHA 011017'!D39</f>
        <v>M2</v>
      </c>
      <c r="G30" s="53"/>
      <c r="H30" s="53"/>
      <c r="I30" s="53"/>
    </row>
    <row r="31" spans="1:19">
      <c r="A31" s="314" t="str">
        <f>'PLANILHA 011017'!A40</f>
        <v>02.23</v>
      </c>
      <c r="B31" s="109" t="str">
        <f>'PLANILHA 011017'!B40</f>
        <v>04.30.060</v>
      </c>
      <c r="C31" s="109" t="str">
        <f>'PLANILHA 011017'!C40</f>
        <v>Remoção de tubulação hidráulica em geral, incluindo conexões, caixas e ralos</v>
      </c>
      <c r="D31" s="140" t="s">
        <v>714</v>
      </c>
      <c r="E31" s="106">
        <v>97.31</v>
      </c>
      <c r="F31" s="315" t="str">
        <f>'PLANILHA 011017'!D40</f>
        <v>M</v>
      </c>
      <c r="G31" s="53"/>
      <c r="H31" s="53"/>
      <c r="I31" s="53"/>
    </row>
    <row r="32" spans="1:19">
      <c r="A32" s="313" t="str">
        <f>'PLANILHA 011017'!A41</f>
        <v>02.24</v>
      </c>
      <c r="B32" s="92" t="str">
        <f>'PLANILHA 011017'!B41</f>
        <v>04.30.100</v>
      </c>
      <c r="C32" s="92" t="str">
        <f>'PLANILHA 011017'!C41</f>
        <v>Remoção de reservatório em fibrocimento até 1000 litros</v>
      </c>
      <c r="D32" s="97" t="s">
        <v>712</v>
      </c>
      <c r="E32" s="104">
        <v>3</v>
      </c>
      <c r="F32" s="312" t="str">
        <f>'PLANILHA 011017'!D41</f>
        <v>UN</v>
      </c>
      <c r="G32" s="53"/>
      <c r="H32" s="53"/>
      <c r="I32" s="53"/>
    </row>
    <row r="33" spans="1:9">
      <c r="A33" s="313" t="str">
        <f>'PLANILHA 011017'!A42</f>
        <v>02.25</v>
      </c>
      <c r="B33" s="92" t="str">
        <f>'PLANILHA 011017'!B42</f>
        <v>04.35.050</v>
      </c>
      <c r="C33" s="92" t="str">
        <f>'PLANILHA 011017'!C42</f>
        <v>Retirada de aparelho de ar condicionado portátil</v>
      </c>
      <c r="D33" s="97">
        <v>1</v>
      </c>
      <c r="E33" s="104">
        <v>1</v>
      </c>
      <c r="F33" s="312" t="str">
        <f>'PLANILHA 011017'!D42</f>
        <v>UN</v>
      </c>
      <c r="G33" s="53"/>
      <c r="H33" s="53"/>
      <c r="I33" s="53"/>
    </row>
    <row r="34" spans="1:9">
      <c r="A34" s="313" t="str">
        <f>'PLANILHA 011017'!A43</f>
        <v>02.26</v>
      </c>
      <c r="B34" s="92" t="str">
        <f>'PLANILHA 011017'!B43</f>
        <v>04.40.020</v>
      </c>
      <c r="C34" s="109" t="str">
        <f>'PLANILHA 011017'!C43</f>
        <v>Retirada de soleira ou peitoril em geral</v>
      </c>
      <c r="D34" s="97" t="s">
        <v>713</v>
      </c>
      <c r="E34" s="104">
        <f>ROUND(2*1.35,2)</f>
        <v>2.7</v>
      </c>
      <c r="F34" s="312" t="str">
        <f>'PLANILHA 011017'!D43</f>
        <v>M</v>
      </c>
      <c r="G34" s="53"/>
      <c r="H34" s="53"/>
      <c r="I34" s="53"/>
    </row>
    <row r="35" spans="1:9">
      <c r="A35" s="313" t="str">
        <f>'PLANILHA 011017'!A44</f>
        <v>02.27</v>
      </c>
      <c r="B35" s="92" t="str">
        <f>'PLANILHA 011017'!B44</f>
        <v>04.20.020</v>
      </c>
      <c r="C35" s="92" t="str">
        <f>'PLANILHA 011017'!C44</f>
        <v>Remoção de janela de ventilação, iluminação ou ventilação e iluminação padrão</v>
      </c>
      <c r="D35" s="97" t="s">
        <v>715</v>
      </c>
      <c r="E35" s="104">
        <v>7</v>
      </c>
      <c r="F35" s="312" t="str">
        <f>'PLANILHA 011017'!D44</f>
        <v>UN</v>
      </c>
      <c r="G35" s="53"/>
      <c r="H35" s="53"/>
      <c r="I35" s="53"/>
    </row>
    <row r="36" spans="1:9">
      <c r="A36" s="313"/>
      <c r="B36" s="92"/>
      <c r="C36" s="92"/>
      <c r="D36" s="99"/>
      <c r="E36" s="98"/>
      <c r="F36" s="312"/>
      <c r="G36" s="53"/>
      <c r="H36" s="53"/>
      <c r="I36" s="53"/>
    </row>
    <row r="37" spans="1:9">
      <c r="A37" s="313"/>
      <c r="B37" s="92"/>
      <c r="C37" s="92"/>
      <c r="D37" s="99"/>
      <c r="E37" s="98"/>
      <c r="F37" s="312"/>
      <c r="G37" s="53"/>
      <c r="H37" s="53"/>
      <c r="I37" s="53"/>
    </row>
    <row r="38" spans="1:9">
      <c r="A38" s="311" t="str">
        <f>'PLANILHA 011017'!A47</f>
        <v>03.00</v>
      </c>
      <c r="B38" s="89"/>
      <c r="C38" s="111" t="str">
        <f>'PLANILHA 011017'!C47</f>
        <v>SERVIÇOS EM SOLO</v>
      </c>
      <c r="D38" s="99"/>
      <c r="E38" s="98"/>
      <c r="F38" s="312"/>
      <c r="G38" s="53"/>
      <c r="H38" s="53"/>
      <c r="I38" s="53"/>
    </row>
    <row r="39" spans="1:9">
      <c r="A39" s="313" t="str">
        <f>'PLANILHA 011017'!A48</f>
        <v>03.01</v>
      </c>
      <c r="B39" s="92" t="str">
        <f>'PLANILHA 011017'!B48</f>
        <v>05.10.020</v>
      </c>
      <c r="C39" s="109" t="str">
        <f>'PLANILHA 011017'!C48</f>
        <v>Transporte de solo de 1ª e 2ª categoria por caminhão até o 2° km</v>
      </c>
      <c r="D39" s="97" t="s">
        <v>716</v>
      </c>
      <c r="E39" s="104">
        <f>ROUND(4.8*1.5+2.47*0.9,2)</f>
        <v>9.42</v>
      </c>
      <c r="F39" s="312" t="str">
        <f>'PLANILHA 011017'!D48</f>
        <v>M3</v>
      </c>
      <c r="G39" s="53"/>
      <c r="H39" s="244" t="s">
        <v>860</v>
      </c>
      <c r="I39" s="53"/>
    </row>
    <row r="40" spans="1:9">
      <c r="A40" s="313" t="str">
        <f>'PLANILHA 011017'!A49</f>
        <v>03.02</v>
      </c>
      <c r="B40" s="92" t="str">
        <f>'PLANILHA 011017'!B49</f>
        <v>06.02.020</v>
      </c>
      <c r="C40" s="109" t="str">
        <f>'PLANILHA 011017'!C49</f>
        <v>Escavação manual em solo de 1ª e 2ª categoria em vala ou cava até 1,5 m</v>
      </c>
      <c r="D40" s="97" t="s">
        <v>864</v>
      </c>
      <c r="E40" s="104">
        <f>ROUND(2.63*1.5+14.85,2)</f>
        <v>18.8</v>
      </c>
      <c r="F40" s="312" t="str">
        <f>'PLANILHA 011017'!D49</f>
        <v>M3</v>
      </c>
      <c r="G40" s="53"/>
      <c r="H40" s="53"/>
      <c r="I40" s="53"/>
    </row>
    <row r="41" spans="1:9">
      <c r="A41" s="313" t="str">
        <f>'PLANILHA 011017'!A50</f>
        <v>03.03</v>
      </c>
      <c r="B41" s="92" t="str">
        <f>'PLANILHA 011017'!B50</f>
        <v>06.11.020</v>
      </c>
      <c r="C41" s="109" t="str">
        <f>'PLANILHA 011017'!C50</f>
        <v>Reaterro manual para simples regularização sem compactação</v>
      </c>
      <c r="D41" s="97" t="s">
        <v>874</v>
      </c>
      <c r="E41" s="104">
        <f>ROUND(417.85*0.1,2)</f>
        <v>41.79</v>
      </c>
      <c r="F41" s="312" t="str">
        <f>'PLANILHA 011017'!D50</f>
        <v>M3</v>
      </c>
      <c r="G41" s="129"/>
      <c r="H41" s="53"/>
      <c r="I41" s="53"/>
    </row>
    <row r="42" spans="1:9">
      <c r="A42" s="313" t="str">
        <f>'PLANILHA 011017'!A51</f>
        <v>03.04</v>
      </c>
      <c r="B42" s="92" t="str">
        <f>'PLANILHA 011017'!B51</f>
        <v>06.12.020</v>
      </c>
      <c r="C42" s="92" t="str">
        <f>'PLANILHA 011017'!C51</f>
        <v>Aterro manual apiloado de área interna com maço de 30 kg</v>
      </c>
      <c r="D42" s="97" t="s">
        <v>865</v>
      </c>
      <c r="E42" s="104">
        <f>ROUND(38.53+13.37+7.5,2)</f>
        <v>59.4</v>
      </c>
      <c r="F42" s="312" t="str">
        <f>'PLANILHA 011017'!D51</f>
        <v>M3</v>
      </c>
      <c r="G42" s="53"/>
      <c r="H42" s="53"/>
      <c r="I42" s="53"/>
    </row>
    <row r="43" spans="1:9">
      <c r="A43" s="313" t="str">
        <f>'PLANILHA 011017'!A52</f>
        <v>03.05</v>
      </c>
      <c r="B43" s="92" t="str">
        <f>'PLANILHA 011017'!B52</f>
        <v>07.01.010</v>
      </c>
      <c r="C43" s="92" t="str">
        <f>'PLANILHA 011017'!C52</f>
        <v>Escavação e carga mecanizada para exploração de solo em jazida</v>
      </c>
      <c r="D43" s="97" t="s">
        <v>716</v>
      </c>
      <c r="E43" s="104">
        <f>ROUND(4.8*1.5+2.47*0.9,2)</f>
        <v>9.42</v>
      </c>
      <c r="F43" s="312" t="str">
        <f>'PLANILHA 011017'!D52</f>
        <v>M3</v>
      </c>
      <c r="G43" s="53"/>
      <c r="H43" s="53"/>
      <c r="I43" s="53"/>
    </row>
    <row r="44" spans="1:9">
      <c r="A44" s="313"/>
      <c r="B44" s="92"/>
      <c r="C44" s="92"/>
      <c r="D44" s="99"/>
      <c r="E44" s="98"/>
      <c r="F44" s="312"/>
      <c r="G44" s="53"/>
      <c r="H44" s="53"/>
      <c r="I44" s="53"/>
    </row>
    <row r="45" spans="1:9">
      <c r="A45" s="313"/>
      <c r="B45" s="92"/>
      <c r="C45" s="92"/>
      <c r="D45" s="99"/>
      <c r="E45" s="98"/>
      <c r="F45" s="312"/>
      <c r="G45" s="53"/>
      <c r="H45" s="53"/>
      <c r="I45" s="53"/>
    </row>
    <row r="46" spans="1:9">
      <c r="A46" s="311" t="str">
        <f>'PLANILHA 011017'!A55</f>
        <v>04.00</v>
      </c>
      <c r="B46" s="89"/>
      <c r="C46" s="111" t="str">
        <f>'PLANILHA 011017'!C55</f>
        <v>ALVENARIA E ELEMENTO DIVISOR</v>
      </c>
      <c r="D46" s="99"/>
      <c r="E46" s="98"/>
      <c r="F46" s="312"/>
      <c r="G46" s="53"/>
      <c r="H46" s="53"/>
      <c r="I46" s="53"/>
    </row>
    <row r="47" spans="1:9" s="138" customFormat="1">
      <c r="A47" s="314" t="str">
        <f>'PLANILHA 011017'!A56</f>
        <v>04.01</v>
      </c>
      <c r="B47" s="109" t="str">
        <f>'PLANILHA 011017'!B56</f>
        <v>14.01.020</v>
      </c>
      <c r="C47" s="109" t="str">
        <f>'PLANILHA 011017'!C56</f>
        <v>Alvenaria de embasamento em tijolo maciço comum</v>
      </c>
      <c r="D47" s="140" t="s">
        <v>717</v>
      </c>
      <c r="E47" s="106">
        <f>ROUND(12.83*0.057*2,2)</f>
        <v>1.46</v>
      </c>
      <c r="F47" s="315" t="str">
        <f>'PLANILHA 011017'!D56</f>
        <v>M3</v>
      </c>
      <c r="G47" s="129"/>
      <c r="H47" s="133"/>
      <c r="I47" s="133"/>
    </row>
    <row r="48" spans="1:9" ht="25.5">
      <c r="A48" s="313" t="str">
        <f>'PLANILHA 011017'!A57</f>
        <v>04.02</v>
      </c>
      <c r="B48" s="92" t="str">
        <f>'PLANILHA 011017'!B57</f>
        <v>14.04.210</v>
      </c>
      <c r="C48" s="109" t="str">
        <f>'PLANILHA 011017'!C57</f>
        <v>Alvenaria de bloco cerâmico de vedação, uso revestido, de 14 cm</v>
      </c>
      <c r="D48" s="140" t="s">
        <v>890</v>
      </c>
      <c r="E48" s="104">
        <f>ROUND(6.06+7.28+18.06+7.73+31.65*0.15+17.48*0.7+2.105,2)</f>
        <v>58.22</v>
      </c>
      <c r="F48" s="312" t="str">
        <f>'PLANILHA 011017'!D57</f>
        <v>M2</v>
      </c>
      <c r="G48" s="53"/>
      <c r="H48" s="53"/>
      <c r="I48" s="53"/>
    </row>
    <row r="49" spans="1:9">
      <c r="A49" s="313" t="str">
        <f>'PLANILHA 011017'!A58</f>
        <v>04.03</v>
      </c>
      <c r="B49" s="92" t="str">
        <f>'PLANILHA 011017'!B58</f>
        <v>14.05.060</v>
      </c>
      <c r="C49" s="109" t="str">
        <f>'PLANILHA 011017'!C58</f>
        <v>Alvenaria de bloco cerâmico estrutural, uso revestido, de 19 cm</v>
      </c>
      <c r="D49" s="140" t="s">
        <v>697</v>
      </c>
      <c r="E49" s="104">
        <f>ROUND(1.596+2.16,2)</f>
        <v>3.76</v>
      </c>
      <c r="F49" s="312" t="str">
        <f>'PLANILHA 011017'!D58</f>
        <v>M2</v>
      </c>
      <c r="G49" s="53"/>
      <c r="H49" s="53"/>
      <c r="I49" s="53"/>
    </row>
    <row r="50" spans="1:9" ht="25.5">
      <c r="A50" s="313" t="str">
        <f>'PLANILHA 011017'!A59</f>
        <v>04.04</v>
      </c>
      <c r="B50" s="92" t="str">
        <f>'PLANILHA 011017'!B59</f>
        <v>14.20.010</v>
      </c>
      <c r="C50" s="109" t="str">
        <f>'PLANILHA 011017'!C59</f>
        <v>Vergas, contravergas e pilaretes de concreto armado</v>
      </c>
      <c r="D50" s="140" t="s">
        <v>696</v>
      </c>
      <c r="E50" s="104">
        <f>ROUND(0.3075*0.2+0.444*0.2+0.6*0.2+0.115*0.15+0.3*0.15,2)</f>
        <v>0.33</v>
      </c>
      <c r="F50" s="312" t="str">
        <f>'PLANILHA 011017'!D59</f>
        <v>M3</v>
      </c>
      <c r="G50" s="53"/>
      <c r="H50" s="53"/>
      <c r="I50" s="53"/>
    </row>
    <row r="51" spans="1:9" ht="25.5">
      <c r="A51" s="313" t="str">
        <f>'PLANILHA 011017'!A60</f>
        <v>04.05</v>
      </c>
      <c r="B51" s="92" t="str">
        <f>'PLANILHA 011017'!B60</f>
        <v>14.30.010</v>
      </c>
      <c r="C51" s="92" t="str">
        <f>'PLANILHA 011017'!C60</f>
        <v>Divisória em placas de granito com espessura de 3 cm</v>
      </c>
      <c r="D51" s="97" t="s">
        <v>698</v>
      </c>
      <c r="E51" s="104">
        <f>ROUND(0.48*3+3.48+3.42+3.42+3.42+3.42+2.41+3.23+3.23+3.23+3.23+1.55,2)</f>
        <v>35.479999999999997</v>
      </c>
      <c r="F51" s="312" t="str">
        <f>'PLANILHA 011017'!D60</f>
        <v>M2</v>
      </c>
      <c r="G51" s="53"/>
      <c r="H51" s="53"/>
      <c r="I51" s="53"/>
    </row>
    <row r="52" spans="1:9">
      <c r="A52" s="313"/>
      <c r="B52" s="92"/>
      <c r="C52" s="92"/>
      <c r="D52" s="99"/>
      <c r="E52" s="98"/>
      <c r="F52" s="312"/>
      <c r="G52" s="53"/>
      <c r="H52" s="53"/>
      <c r="I52" s="53"/>
    </row>
    <row r="53" spans="1:9">
      <c r="A53" s="313"/>
      <c r="B53" s="92"/>
      <c r="C53" s="92"/>
      <c r="D53" s="99"/>
      <c r="E53" s="98"/>
      <c r="F53" s="312"/>
      <c r="G53" s="53"/>
      <c r="H53" s="53"/>
      <c r="I53" s="53"/>
    </row>
    <row r="54" spans="1:9">
      <c r="A54" s="311" t="str">
        <f>'PLANILHA 011017'!A63</f>
        <v>05.00</v>
      </c>
      <c r="B54" s="89"/>
      <c r="C54" s="111" t="str">
        <f>'PLANILHA 011017'!C63</f>
        <v>ESTRUTURA EM MADEIRA, FERRO, ALUMINIO E CONCRETO</v>
      </c>
      <c r="D54" s="99"/>
      <c r="E54" s="98"/>
      <c r="F54" s="312"/>
      <c r="G54" s="53"/>
      <c r="H54" s="53"/>
      <c r="I54" s="53"/>
    </row>
    <row r="55" spans="1:9">
      <c r="A55" s="313" t="str">
        <f>'PLANILHA 011017'!A64</f>
        <v>05.01</v>
      </c>
      <c r="B55" s="92" t="str">
        <f>'PLANILHA 011017'!B64</f>
        <v>09.01.020</v>
      </c>
      <c r="C55" s="92" t="str">
        <f>'PLANILHA 011017'!C64</f>
        <v>Forma em madeira comum para fundação</v>
      </c>
      <c r="D55" s="97" t="s">
        <v>886</v>
      </c>
      <c r="E55" s="104">
        <v>26.37</v>
      </c>
      <c r="F55" s="312" t="str">
        <f>'PLANILHA 011017'!D64</f>
        <v>M2</v>
      </c>
      <c r="G55" s="132"/>
      <c r="H55" s="53"/>
      <c r="I55" s="53"/>
    </row>
    <row r="56" spans="1:9">
      <c r="A56" s="313" t="str">
        <f>'PLANILHA 011017'!A65</f>
        <v>05.02</v>
      </c>
      <c r="B56" s="92" t="str">
        <f>'PLANILHA 011017'!B65</f>
        <v>09.01.030</v>
      </c>
      <c r="C56" s="92" t="str">
        <f>'PLANILHA 011017'!C65</f>
        <v>Forma em madeira comum para estrutura</v>
      </c>
      <c r="D56" s="97" t="s">
        <v>893</v>
      </c>
      <c r="E56" s="104">
        <v>29.78</v>
      </c>
      <c r="F56" s="312" t="str">
        <f>'PLANILHA 011017'!D65</f>
        <v>M2</v>
      </c>
      <c r="G56" s="53"/>
      <c r="H56" s="53"/>
      <c r="I56" s="53"/>
    </row>
    <row r="57" spans="1:9">
      <c r="A57" s="313" t="str">
        <f>'PLANILHA 011017'!A66</f>
        <v>05.03</v>
      </c>
      <c r="B57" s="92" t="str">
        <f>'PLANILHA 011017'!B66</f>
        <v>10.01.040</v>
      </c>
      <c r="C57" s="92" t="str">
        <f>'PLANILHA 011017'!C66</f>
        <v>Armadura em barra de aço CA-50 (A ou B) fyk = 500 MPa</v>
      </c>
      <c r="D57" s="97" t="s">
        <v>887</v>
      </c>
      <c r="E57" s="97">
        <v>238.04</v>
      </c>
      <c r="F57" s="312" t="str">
        <f>'PLANILHA 011017'!D66</f>
        <v>KG</v>
      </c>
      <c r="G57" s="53"/>
      <c r="H57" s="53"/>
      <c r="I57" s="53"/>
    </row>
    <row r="58" spans="1:9">
      <c r="A58" s="313" t="str">
        <f>'PLANILHA 011017'!A67</f>
        <v>05.04</v>
      </c>
      <c r="B58" s="92" t="str">
        <f>'PLANILHA 011017'!B66</f>
        <v>10.01.040</v>
      </c>
      <c r="C58" s="92" t="str">
        <f>'PLANILHA 011017'!C67</f>
        <v>Armadura em barra de aço CA-60 (A ou B) fyk = 600 MPa</v>
      </c>
      <c r="D58" s="97" t="s">
        <v>888</v>
      </c>
      <c r="E58" s="97">
        <v>168.36</v>
      </c>
      <c r="F58" s="312" t="str">
        <f>'PLANILHA 011017'!D67</f>
        <v>KG</v>
      </c>
      <c r="G58" s="53"/>
      <c r="H58" s="53"/>
      <c r="I58" s="53"/>
    </row>
    <row r="59" spans="1:9">
      <c r="A59" s="313" t="str">
        <f>'PLANILHA 011017'!A68</f>
        <v>05.05</v>
      </c>
      <c r="B59" s="92" t="str">
        <f>'PLANILHA 011017'!B67</f>
        <v>10.01.060</v>
      </c>
      <c r="C59" s="92" t="str">
        <f>'PLANILHA 011017'!C68</f>
        <v>Armadura em tela soldada de aço</v>
      </c>
      <c r="D59" s="97" t="s">
        <v>905</v>
      </c>
      <c r="E59" s="97">
        <v>63.84</v>
      </c>
      <c r="F59" s="312" t="str">
        <f>'PLANILHA 011017'!D68</f>
        <v>KG</v>
      </c>
      <c r="G59" s="53"/>
      <c r="H59" s="53"/>
      <c r="I59" s="53"/>
    </row>
    <row r="60" spans="1:9">
      <c r="A60" s="313" t="str">
        <f>'PLANILHA 011017'!A69</f>
        <v>05.06</v>
      </c>
      <c r="B60" s="92" t="str">
        <f>'PLANILHA 011017'!B69</f>
        <v>11.01.130</v>
      </c>
      <c r="C60" s="109" t="str">
        <f>'PLANILHA 011017'!C69</f>
        <v>Concreto usinado, fck = 25 MPa</v>
      </c>
      <c r="D60" s="97" t="s">
        <v>889</v>
      </c>
      <c r="E60" s="104">
        <v>4.78</v>
      </c>
      <c r="F60" s="312" t="str">
        <f>'PLANILHA 011017'!D69</f>
        <v>M3</v>
      </c>
      <c r="G60" s="53"/>
      <c r="H60" s="53"/>
      <c r="I60" s="53"/>
    </row>
    <row r="61" spans="1:9" ht="25.5">
      <c r="A61" s="313" t="str">
        <f>'PLANILHA 011017'!A70</f>
        <v>05.07</v>
      </c>
      <c r="B61" s="92" t="str">
        <f>'PLANILHA 011017'!B70</f>
        <v>11.16.020</v>
      </c>
      <c r="C61" s="109" t="str">
        <f>'PLANILHA 011017'!C70</f>
        <v>Lançamento, espalhamento e adensamento de concreto ou massa em lastro e/ou enchimento</v>
      </c>
      <c r="D61" s="97" t="s">
        <v>889</v>
      </c>
      <c r="E61" s="104">
        <v>4.78</v>
      </c>
      <c r="F61" s="312" t="str">
        <f>'PLANILHA 011017'!D70</f>
        <v>M3</v>
      </c>
      <c r="G61" s="53"/>
      <c r="H61" s="53"/>
      <c r="I61" s="53"/>
    </row>
    <row r="62" spans="1:9">
      <c r="A62" s="313" t="str">
        <f>'PLANILHA 011017'!A71</f>
        <v>05.08</v>
      </c>
      <c r="B62" s="92" t="str">
        <f>'PLANILHA 011017'!B71</f>
        <v>11.20.050</v>
      </c>
      <c r="C62" s="109" t="str">
        <f>'PLANILHA 011017'!C71</f>
        <v>Corte de junta de dilatação, com serra de disco diamantado para pisos</v>
      </c>
      <c r="D62" s="97" t="s">
        <v>718</v>
      </c>
      <c r="E62" s="104">
        <f>ROUND(3*16+1.2*6+24.95,2)</f>
        <v>80.150000000000006</v>
      </c>
      <c r="F62" s="312" t="str">
        <f>'PLANILHA 011017'!D71</f>
        <v>M</v>
      </c>
      <c r="G62" s="53"/>
      <c r="H62" s="53"/>
      <c r="I62" s="53"/>
    </row>
    <row r="63" spans="1:9">
      <c r="A63" s="313" t="str">
        <f>'PLANILHA 011017'!A72</f>
        <v>05.09</v>
      </c>
      <c r="B63" s="92" t="str">
        <f>'PLANILHA 011017'!B72</f>
        <v>12.01.021</v>
      </c>
      <c r="C63" s="109" t="str">
        <f>'PLANILHA 011017'!C72</f>
        <v>Broca em concreto armado diâmetro de 20 cm - completa</v>
      </c>
      <c r="D63" s="97" t="s">
        <v>719</v>
      </c>
      <c r="E63" s="104">
        <f>24*3</f>
        <v>72</v>
      </c>
      <c r="F63" s="312" t="str">
        <f>'PLANILHA 011017'!D72</f>
        <v>M</v>
      </c>
      <c r="G63" s="53"/>
      <c r="H63" s="53"/>
      <c r="I63" s="53"/>
    </row>
    <row r="64" spans="1:9" ht="38.25">
      <c r="A64" s="313" t="str">
        <f>'PLANILHA 011017'!A73</f>
        <v>05.10</v>
      </c>
      <c r="B64" s="92" t="str">
        <f>'PLANILHA 011017'!B73</f>
        <v>15.03.030</v>
      </c>
      <c r="C64" s="92" t="str">
        <f>'PLANILHA 011017'!C73</f>
        <v>Fornecimento e montagem de estrutura em aço ASTM-A36, sem pintura</v>
      </c>
      <c r="D64" s="97" t="s">
        <v>720</v>
      </c>
      <c r="E64" s="104">
        <f>ROUND(10*24.3*27.4/6+9.18+9.18+12.15+12.15+26.08+19.59,2)</f>
        <v>1198.03</v>
      </c>
      <c r="F64" s="312" t="str">
        <f>'PLANILHA 011017'!D73</f>
        <v>KG</v>
      </c>
      <c r="G64" s="53"/>
      <c r="H64" s="53"/>
      <c r="I64" s="53"/>
    </row>
    <row r="65" spans="1:9" s="157" customFormat="1" ht="25.5">
      <c r="A65" s="313" t="str">
        <f>'PLANILHA 011017'!A74</f>
        <v>05.11</v>
      </c>
      <c r="B65" s="92" t="str">
        <f>'PLANILHA 011017'!B74</f>
        <v>16.12.060</v>
      </c>
      <c r="C65" s="92" t="str">
        <f>'PLANILHA 011017'!C74</f>
        <v>Telhamento em chapa de aço pré-pintada com epóxi e poliéster, perfil trapezoidal, com espessura de 0,50 mm e altura de 40 mm</v>
      </c>
      <c r="D65" s="110" t="s">
        <v>868</v>
      </c>
      <c r="E65" s="104">
        <v>136.19999999999999</v>
      </c>
      <c r="F65" s="312" t="str">
        <f>'PLANILHA 011017'!D74</f>
        <v>M2</v>
      </c>
      <c r="G65" s="132"/>
      <c r="H65" s="132"/>
      <c r="I65" s="132"/>
    </row>
    <row r="66" spans="1:9">
      <c r="A66" s="313"/>
      <c r="B66" s="92"/>
      <c r="C66" s="92"/>
      <c r="D66" s="99"/>
      <c r="E66" s="98"/>
      <c r="F66" s="312"/>
      <c r="G66" s="53"/>
      <c r="H66" s="53"/>
      <c r="I66" s="53"/>
    </row>
    <row r="67" spans="1:9">
      <c r="A67" s="313"/>
      <c r="B67" s="92"/>
      <c r="C67" s="92"/>
      <c r="D67" s="99"/>
      <c r="E67" s="98"/>
      <c r="F67" s="312"/>
      <c r="G67" s="53"/>
      <c r="H67" s="53"/>
      <c r="I67" s="53"/>
    </row>
    <row r="68" spans="1:9">
      <c r="A68" s="311" t="str">
        <f>'PLANILHA 011017'!A77</f>
        <v>06.00</v>
      </c>
      <c r="B68" s="89"/>
      <c r="C68" s="111" t="str">
        <f>'PLANILHA 011017'!C77</f>
        <v>REVESTIMENTO</v>
      </c>
      <c r="D68" s="97"/>
      <c r="E68" s="98"/>
      <c r="F68" s="312"/>
      <c r="G68" s="53"/>
      <c r="H68" s="53"/>
      <c r="I68" s="53"/>
    </row>
    <row r="69" spans="1:9" ht="38.25">
      <c r="A69" s="313" t="str">
        <f>'PLANILHA 011017'!A78</f>
        <v>06.01</v>
      </c>
      <c r="B69" s="92" t="str">
        <f>'PLANILHA 011017'!B78</f>
        <v>17.02.040</v>
      </c>
      <c r="C69" s="92" t="str">
        <f>'PLANILHA 011017'!C78</f>
        <v>Chapisco com bianco</v>
      </c>
      <c r="D69" s="97" t="s">
        <v>781</v>
      </c>
      <c r="E69" s="104">
        <f>ROUND(6.07*2+2.76*2+0.31*2+7.4*2+2.04*2+88.87+0.5*25.4,2)</f>
        <v>138.72999999999999</v>
      </c>
      <c r="F69" s="312" t="str">
        <f>'PLANILHA 011017'!D78</f>
        <v>M2</v>
      </c>
      <c r="G69" s="53"/>
      <c r="H69" s="53"/>
      <c r="I69" s="53"/>
    </row>
    <row r="70" spans="1:9" ht="38.25">
      <c r="A70" s="313" t="str">
        <f>'PLANILHA 011017'!A79</f>
        <v>06.02</v>
      </c>
      <c r="B70" s="92" t="str">
        <f>'PLANILHA 011017'!B79</f>
        <v>17.02.120</v>
      </c>
      <c r="C70" s="92" t="str">
        <f>'PLANILHA 011017'!C79</f>
        <v>Emboço comum</v>
      </c>
      <c r="D70" s="97" t="s">
        <v>781</v>
      </c>
      <c r="E70" s="104">
        <f t="shared" ref="E70:E71" si="0">ROUND(6.07*2+2.76*2+0.31*2+7.4*2+2.04*2+88.87+0.5*25.4,2)</f>
        <v>138.72999999999999</v>
      </c>
      <c r="F70" s="312" t="str">
        <f>'PLANILHA 011017'!D79</f>
        <v>M2</v>
      </c>
      <c r="G70" s="53"/>
      <c r="H70" s="53"/>
      <c r="I70" s="53"/>
    </row>
    <row r="71" spans="1:9" ht="38.25">
      <c r="A71" s="313" t="str">
        <f>'PLANILHA 011017'!A80</f>
        <v>06.03</v>
      </c>
      <c r="B71" s="92" t="str">
        <f>'PLANILHA 011017'!B80</f>
        <v>17.02.220</v>
      </c>
      <c r="C71" s="92" t="str">
        <f>'PLANILHA 011017'!C80</f>
        <v>Reboco</v>
      </c>
      <c r="D71" s="97" t="s">
        <v>781</v>
      </c>
      <c r="E71" s="104">
        <f t="shared" si="0"/>
        <v>138.72999999999999</v>
      </c>
      <c r="F71" s="312" t="str">
        <f>'PLANILHA 011017'!D80</f>
        <v>M2</v>
      </c>
      <c r="G71" s="53"/>
      <c r="H71" s="53"/>
      <c r="I71" s="53"/>
    </row>
    <row r="72" spans="1:9" ht="25.5">
      <c r="A72" s="313" t="str">
        <f>'PLANILHA 011017'!A81</f>
        <v>06.04</v>
      </c>
      <c r="B72" s="92" t="str">
        <f>'PLANILHA 011017'!B81</f>
        <v>17.05.070</v>
      </c>
      <c r="C72" s="109" t="str">
        <f>'PLANILHA 011017'!C81</f>
        <v>Piso com requadro em concreto simples com controle de fck= 20 MPa</v>
      </c>
      <c r="D72" s="97" t="s">
        <v>863</v>
      </c>
      <c r="E72" s="104">
        <f>ROUND(417.85*0.08+25.4*0.0213,2)</f>
        <v>33.97</v>
      </c>
      <c r="F72" s="312" t="str">
        <f>'PLANILHA 011017'!D81</f>
        <v>M3</v>
      </c>
      <c r="G72" s="53"/>
      <c r="H72" s="53"/>
      <c r="I72" s="53"/>
    </row>
    <row r="73" spans="1:9">
      <c r="A73" s="313" t="str">
        <f>'PLANILHA 011017'!A82</f>
        <v>06.05</v>
      </c>
      <c r="B73" s="92" t="str">
        <f>'PLANILHA 011017'!B82</f>
        <v>17.05.100</v>
      </c>
      <c r="C73" s="109" t="str">
        <f>'PLANILHA 011017'!C82</f>
        <v>Piso com requadro em concreto simples com controle de fck= 25 MPa</v>
      </c>
      <c r="D73" s="97" t="s">
        <v>722</v>
      </c>
      <c r="E73" s="104">
        <f>ROUND(84.33*0.08,2)</f>
        <v>6.75</v>
      </c>
      <c r="F73" s="312" t="str">
        <f>'PLANILHA 011017'!D82</f>
        <v>M3</v>
      </c>
      <c r="G73" s="53"/>
      <c r="H73" s="53"/>
      <c r="I73" s="53"/>
    </row>
    <row r="74" spans="1:9" ht="38.25">
      <c r="A74" s="313" t="str">
        <f>'PLANILHA 011017'!A83</f>
        <v>06.06</v>
      </c>
      <c r="B74" s="92" t="str">
        <f>'PLANILHA 011017'!B83</f>
        <v>17.10.020</v>
      </c>
      <c r="C74" s="92" t="str">
        <f>'PLANILHA 011017'!C83</f>
        <v>Piso em granilite moldado no local</v>
      </c>
      <c r="D74" s="97" t="s">
        <v>723</v>
      </c>
      <c r="E74" s="104">
        <f>ROUND(7.3+29.94+42.29+7+13.58+8.36+268.01,2)</f>
        <v>376.48</v>
      </c>
      <c r="F74" s="312" t="str">
        <f>'PLANILHA 011017'!D83</f>
        <v>M2</v>
      </c>
      <c r="G74" s="53"/>
      <c r="H74" s="53"/>
      <c r="I74" s="53"/>
    </row>
    <row r="75" spans="1:9">
      <c r="A75" s="313" t="str">
        <f>'PLANILHA 011017'!A84</f>
        <v>06.07</v>
      </c>
      <c r="B75" s="92" t="str">
        <f>'PLANILHA 011017'!B84</f>
        <v>17.10.120</v>
      </c>
      <c r="C75" s="92" t="str">
        <f>'PLANILHA 011017'!C84</f>
        <v>Degrau em granilite moldado no local</v>
      </c>
      <c r="D75" s="97" t="s">
        <v>721</v>
      </c>
      <c r="E75" s="106">
        <f>ROUND(8*1.7,2)</f>
        <v>13.6</v>
      </c>
      <c r="F75" s="312" t="str">
        <f>'PLANILHA 011017'!D84</f>
        <v>M</v>
      </c>
      <c r="G75" s="53"/>
      <c r="H75" s="53"/>
      <c r="I75" s="53"/>
    </row>
    <row r="76" spans="1:9" ht="38.25">
      <c r="A76" s="313" t="str">
        <f>'PLANILHA 011017'!A85</f>
        <v>06.08</v>
      </c>
      <c r="B76" s="92" t="str">
        <f>'PLANILHA 011017'!B85</f>
        <v>17.10.200</v>
      </c>
      <c r="C76" s="92" t="str">
        <f>'PLANILHA 011017'!C85</f>
        <v>Rodapé qualquer em granilite moldado no local até 10 cm</v>
      </c>
      <c r="D76" s="97" t="s">
        <v>724</v>
      </c>
      <c r="E76" s="104">
        <f>ROUND(10.7+25.17+46.29+10+17.76+13.44+96.46+47.25,2)</f>
        <v>267.07</v>
      </c>
      <c r="F76" s="312" t="str">
        <f>'PLANILHA 011017'!D85</f>
        <v>M</v>
      </c>
      <c r="G76" s="53"/>
      <c r="H76" s="53"/>
      <c r="I76" s="53"/>
    </row>
    <row r="77" spans="1:9" ht="25.5">
      <c r="A77" s="313" t="str">
        <f>'PLANILHA 011017'!A86</f>
        <v>06.09</v>
      </c>
      <c r="B77" s="92" t="str">
        <f>'PLANILHA 011017'!B86</f>
        <v>17.40.110</v>
      </c>
      <c r="C77" s="92" t="str">
        <f>'PLANILHA 011017'!C86</f>
        <v>Faixa antiderrapante definitiva para degraus, soleiras, patamares ou pisos</v>
      </c>
      <c r="D77" s="97" t="s">
        <v>725</v>
      </c>
      <c r="E77" s="104">
        <f>ROUND(13.6+2+3.9+5*0.8+2*0.9,2)</f>
        <v>25.3</v>
      </c>
      <c r="F77" s="312" t="str">
        <f>'PLANILHA 011017'!D86</f>
        <v>M</v>
      </c>
      <c r="G77" s="53"/>
      <c r="H77" s="53"/>
      <c r="I77" s="53"/>
    </row>
    <row r="78" spans="1:9" ht="38.25">
      <c r="A78" s="313" t="str">
        <f>'PLANILHA 011017'!A87</f>
        <v>06.10</v>
      </c>
      <c r="B78" s="92" t="str">
        <f>'PLANILHA 011017'!B87</f>
        <v>17.40.160</v>
      </c>
      <c r="C78" s="92" t="str">
        <f>'PLANILHA 011017'!C87</f>
        <v>Resina epóxi para piso de granilite</v>
      </c>
      <c r="D78" s="97" t="s">
        <v>723</v>
      </c>
      <c r="E78" s="104">
        <f>ROUND(7.3+29.94+42.29+7+13.58+8.36+268.01,2)</f>
        <v>376.48</v>
      </c>
      <c r="F78" s="312" t="str">
        <f>'PLANILHA 011017'!D87</f>
        <v>M2</v>
      </c>
      <c r="G78" s="53"/>
      <c r="H78" s="53"/>
      <c r="I78" s="53"/>
    </row>
    <row r="79" spans="1:9">
      <c r="A79" s="313" t="str">
        <f>'PLANILHA 011017'!A88</f>
        <v>06.11</v>
      </c>
      <c r="B79" s="92" t="str">
        <f>'PLANILHA 011017'!B88</f>
        <v>17.40.190</v>
      </c>
      <c r="C79" s="92" t="str">
        <f>'PLANILHA 011017'!C88</f>
        <v>Resina epóxi para degrau de granilite</v>
      </c>
      <c r="D79" s="97" t="s">
        <v>721</v>
      </c>
      <c r="E79" s="106">
        <f>ROUND(8*1.7,2)</f>
        <v>13.6</v>
      </c>
      <c r="F79" s="312" t="str">
        <f>'PLANILHA 011017'!D88</f>
        <v>M</v>
      </c>
      <c r="G79" s="53"/>
      <c r="H79" s="53"/>
      <c r="I79" s="53"/>
    </row>
    <row r="80" spans="1:9" ht="38.25">
      <c r="A80" s="313" t="str">
        <f>'PLANILHA 011017'!A89</f>
        <v>06.12</v>
      </c>
      <c r="B80" s="92" t="str">
        <f>'PLANILHA 011017'!B89</f>
        <v>18.08.090</v>
      </c>
      <c r="C80" s="92" t="str">
        <f>'PLANILHA 011017'!C89</f>
        <v>Revestimento em porcelanato esmaltado acetinado para área interna e ambiente com acesso ao exterior, grupo de absorção BIa, resistência química B, assentado com argamassa colante industrializada, rejuntado</v>
      </c>
      <c r="D80" s="97" t="s">
        <v>879</v>
      </c>
      <c r="E80" s="104">
        <f>ROUND(16.39+21.43+100.27,2)</f>
        <v>138.09</v>
      </c>
      <c r="F80" s="312" t="str">
        <f>'PLANILHA 011017'!D89</f>
        <v>M2</v>
      </c>
      <c r="G80" s="53"/>
      <c r="H80" s="53"/>
      <c r="I80" s="53"/>
    </row>
    <row r="81" spans="1:9" s="130" customFormat="1" ht="25.5">
      <c r="A81" s="314" t="str">
        <f>'PLANILHA 011017'!A90</f>
        <v>06.13</v>
      </c>
      <c r="B81" s="109" t="str">
        <f>'PLANILHA 011017'!B90</f>
        <v>18.11.052</v>
      </c>
      <c r="C81" s="109" t="str">
        <f>'PLANILHA 011017'!C90</f>
        <v>Revestimento em placa cerâmica esmaltada, tipo monoporosa, retangular, assentado e rejuntado com argamassa industrializada</v>
      </c>
      <c r="D81" s="140" t="s">
        <v>880</v>
      </c>
      <c r="E81" s="106">
        <v>103.69</v>
      </c>
      <c r="F81" s="315" t="str">
        <f>'PLANILHA 011017'!D90</f>
        <v>M2</v>
      </c>
      <c r="G81" s="129"/>
      <c r="H81" s="129"/>
      <c r="I81" s="129"/>
    </row>
    <row r="82" spans="1:9" ht="51">
      <c r="A82" s="313" t="str">
        <f>'PLANILHA 011017'!A91</f>
        <v>06.14</v>
      </c>
      <c r="B82" s="92" t="str">
        <f>'PLANILHA 011017'!B91</f>
        <v>19.01.062</v>
      </c>
      <c r="C82" s="92" t="str">
        <f>'PLANILHA 011017'!C91</f>
        <v>Peitoril e/ou soleira em granito, espessura de 2 cm e largura até 20 cm, acabamento polido</v>
      </c>
      <c r="D82" s="97" t="s">
        <v>726</v>
      </c>
      <c r="E82" s="104">
        <f>ROUND(2+1.3+2+3.9+1.2*5+5*0.8+2*0.9+3*0.8+1.3+1.3+2.75+2.9+5.55,2)</f>
        <v>37.200000000000003</v>
      </c>
      <c r="F82" s="312" t="str">
        <f>'PLANILHA 011017'!D91</f>
        <v>M</v>
      </c>
      <c r="G82" s="53"/>
      <c r="H82" s="53"/>
      <c r="I82" s="53"/>
    </row>
    <row r="83" spans="1:9" s="130" customFormat="1" ht="25.5">
      <c r="A83" s="313" t="str">
        <f>'PLANILHA 011017'!A92</f>
        <v>06.15</v>
      </c>
      <c r="B83" s="92" t="str">
        <f>'PLANILHA 011017'!B92</f>
        <v>22.02.010</v>
      </c>
      <c r="C83" s="92" t="str">
        <f>'PLANILHA 011017'!C92</f>
        <v>Forro em placa de gesso liso fixo</v>
      </c>
      <c r="D83" s="97" t="s">
        <v>866</v>
      </c>
      <c r="E83" s="104">
        <f>ROUND(20.04*6+5.41+4.08,2)</f>
        <v>129.72999999999999</v>
      </c>
      <c r="F83" s="312" t="str">
        <f>'PLANILHA 011017'!D92</f>
        <v>M2</v>
      </c>
      <c r="G83" s="129"/>
      <c r="H83" s="129"/>
      <c r="I83" s="129"/>
    </row>
    <row r="84" spans="1:9" ht="25.5">
      <c r="A84" s="313" t="str">
        <f>'PLANILHA 011017'!A93</f>
        <v>06.16</v>
      </c>
      <c r="B84" s="92" t="str">
        <f>'PLANILHA 011017'!B93</f>
        <v>21.03.151</v>
      </c>
      <c r="C84" s="92" t="str">
        <f>'PLANILHA 011017'!C93</f>
        <v>Revestimento em placas de alumínio composto "ACM", espessura de 4 mm e acabamento em PVDF</v>
      </c>
      <c r="D84" s="97" t="s">
        <v>870</v>
      </c>
      <c r="E84" s="104">
        <f>ROUND((24.2+25.3+24.2)*1.5+15*1+15*0.08*1,2)</f>
        <v>126.75</v>
      </c>
      <c r="F84" s="312" t="str">
        <f>'PLANILHA 011017'!D93</f>
        <v>M2</v>
      </c>
      <c r="G84" s="53"/>
      <c r="H84" s="53"/>
      <c r="I84" s="53"/>
    </row>
    <row r="85" spans="1:9" s="138" customFormat="1" ht="25.5">
      <c r="A85" s="314" t="str">
        <f>'PLANILHA 011017'!A94</f>
        <v>06.17</v>
      </c>
      <c r="B85" s="109" t="str">
        <f>'PLANILHA 011017'!B94</f>
        <v>30.04.020</v>
      </c>
      <c r="C85" s="109" t="str">
        <f>'PLANILHA 011017'!C94</f>
        <v>Revestimento em borracha sintética colorida de 5 mm, para sinalização tátil de alerta / direcional - colado</v>
      </c>
      <c r="D85" s="140" t="s">
        <v>749</v>
      </c>
      <c r="E85" s="106">
        <v>33.18</v>
      </c>
      <c r="F85" s="315" t="str">
        <f>'PLANILHA 011017'!D94</f>
        <v>M2</v>
      </c>
      <c r="G85" s="133"/>
      <c r="H85" s="133"/>
      <c r="I85" s="133"/>
    </row>
    <row r="86" spans="1:9" ht="25.5">
      <c r="A86" s="313" t="str">
        <f>'PLANILHA 011017'!A95</f>
        <v>06.18</v>
      </c>
      <c r="B86" s="92" t="str">
        <f>'PLANILHA 011017'!B95</f>
        <v>30.04.040</v>
      </c>
      <c r="C86" s="92" t="str">
        <f>'PLANILHA 011017'!C95</f>
        <v>Faixa em policarbonato para sinalização visual fotoluminescente, para degraus, comprimento de 20 cm</v>
      </c>
      <c r="D86" s="97" t="s">
        <v>582</v>
      </c>
      <c r="E86" s="104">
        <f>ROUND(9*2*2,2)</f>
        <v>36</v>
      </c>
      <c r="F86" s="312" t="str">
        <f>'PLANILHA 011017'!D95</f>
        <v>UN</v>
      </c>
      <c r="G86" s="53"/>
      <c r="H86" s="53"/>
      <c r="I86" s="53"/>
    </row>
    <row r="87" spans="1:9" ht="38.25">
      <c r="A87" s="313" t="str">
        <f>'PLANILHA 011017'!A96</f>
        <v>06.19</v>
      </c>
      <c r="B87" s="92" t="str">
        <f>'PLANILHA 011017'!B96</f>
        <v>32.07.040</v>
      </c>
      <c r="C87" s="92" t="str">
        <f>'PLANILHA 011017'!C96</f>
        <v>Junta plástica de 3/4´ x 1/8´</v>
      </c>
      <c r="D87" s="97" t="s">
        <v>751</v>
      </c>
      <c r="E87" s="104">
        <f>ROUND(10.7+25.17+46.29+10+17.76+13.44+96.47+47.25+426.65,2)</f>
        <v>693.73</v>
      </c>
      <c r="F87" s="312" t="str">
        <f>'PLANILHA 011017'!D96</f>
        <v>M</v>
      </c>
      <c r="G87" s="53"/>
      <c r="H87" s="53"/>
      <c r="I87" s="53"/>
    </row>
    <row r="88" spans="1:9" s="130" customFormat="1" ht="25.5">
      <c r="A88" s="314" t="str">
        <f>'PLANILHA 011017'!A97</f>
        <v>06.20</v>
      </c>
      <c r="B88" s="109" t="str">
        <f>'PLANILHA 011017'!B97</f>
        <v>32.10.050</v>
      </c>
      <c r="C88" s="109" t="str">
        <f>'PLANILHA 011017'!C97</f>
        <v>Proteção anticorrosiva, a base de resina epóxi com alcatrão, para ramais sob a terra, com DN até 1´</v>
      </c>
      <c r="D88" s="140" t="s">
        <v>750</v>
      </c>
      <c r="E88" s="106">
        <v>11.5</v>
      </c>
      <c r="F88" s="315" t="str">
        <f>'PLANILHA 011017'!D97</f>
        <v>M</v>
      </c>
      <c r="G88" s="129"/>
      <c r="H88" s="129"/>
      <c r="I88" s="129"/>
    </row>
    <row r="89" spans="1:9" s="130" customFormat="1" ht="63.75">
      <c r="A89" s="313" t="str">
        <f>'PLANILHA 011017'!A98</f>
        <v>06.21</v>
      </c>
      <c r="B89" s="92" t="str">
        <f>'PLANILHA 011017'!B98</f>
        <v>32.16.030</v>
      </c>
      <c r="C89" s="92" t="str">
        <f>'PLANILHA 011017'!C98</f>
        <v>Impermeabilização em membrana de asfalto modificado com elastômeros, na cor preta</v>
      </c>
      <c r="D89" s="97" t="s">
        <v>891</v>
      </c>
      <c r="E89" s="166">
        <f>ROUND(15.84*2+1.44+8.43*2+1.69+10.35*2+2.29+2.8*2+0.46*2+0.32*3*2+0.95*2+0.64+0.53*2+2.37*2+1.58+1.06*2+0.71+0.31*2+12.83*2,2)</f>
        <v>122.13</v>
      </c>
      <c r="F89" s="312" t="str">
        <f>'PLANILHA 011017'!D98</f>
        <v>M2</v>
      </c>
      <c r="G89" s="129"/>
      <c r="H89" s="129"/>
      <c r="I89" s="129"/>
    </row>
    <row r="90" spans="1:9" s="130" customFormat="1" ht="25.5">
      <c r="A90" s="314" t="str">
        <f>'PLANILHA 011017'!A99</f>
        <v>06.22</v>
      </c>
      <c r="B90" s="109" t="str">
        <f>'PLANILHA 011017'!B99</f>
        <v>32.20.050</v>
      </c>
      <c r="C90" s="109" t="str">
        <f>'PLANILHA 011017'!C99</f>
        <v>Tela em polietileno, malha hexagonal de 1/2´, para armadura de argamassa</v>
      </c>
      <c r="D90" s="140" t="s">
        <v>760</v>
      </c>
      <c r="E90" s="106">
        <f>ROUND(0.6*0.1*4+0.6*0.9*4+0.6*1.5*12+0.6*3*8+(0.6*3+0.5)*1.65,2)</f>
        <v>31.4</v>
      </c>
      <c r="F90" s="315" t="str">
        <f>'PLANILHA 011017'!D99</f>
        <v>M2</v>
      </c>
      <c r="G90" s="129"/>
      <c r="H90" s="129"/>
      <c r="I90" s="129"/>
    </row>
    <row r="91" spans="1:9">
      <c r="A91" s="313"/>
      <c r="B91" s="92"/>
      <c r="C91" s="92"/>
      <c r="D91" s="99"/>
      <c r="E91" s="98"/>
      <c r="F91" s="312"/>
      <c r="G91" s="53"/>
      <c r="H91" s="53"/>
      <c r="I91" s="53"/>
    </row>
    <row r="92" spans="1:9">
      <c r="A92" s="313"/>
      <c r="B92" s="92"/>
      <c r="C92" s="92"/>
      <c r="D92" s="99"/>
      <c r="E92" s="98"/>
      <c r="F92" s="312"/>
      <c r="G92" s="53"/>
      <c r="H92" s="53"/>
      <c r="I92" s="53"/>
    </row>
    <row r="93" spans="1:9">
      <c r="A93" s="311" t="str">
        <f>'PLANILHA 011017'!A102</f>
        <v>07.00</v>
      </c>
      <c r="B93" s="89"/>
      <c r="C93" s="111" t="str">
        <f>'PLANILHA 011017'!C102</f>
        <v>ESQUADRIA E ELEMENTOS</v>
      </c>
      <c r="D93" s="99"/>
      <c r="E93" s="98"/>
      <c r="F93" s="312"/>
      <c r="G93" s="53"/>
      <c r="H93" s="53"/>
      <c r="I93" s="53"/>
    </row>
    <row r="94" spans="1:9" ht="25.5">
      <c r="A94" s="313" t="str">
        <f>'PLANILHA 011017'!A103</f>
        <v>07.01</v>
      </c>
      <c r="B94" s="92" t="str">
        <f>'PLANILHA 011017'!B103</f>
        <v>24.02.060</v>
      </c>
      <c r="C94" s="92" t="str">
        <f>'PLANILHA 011017'!C103</f>
        <v>Porta/portão de abrir em chapa, sob medida</v>
      </c>
      <c r="D94" s="97" t="s">
        <v>871</v>
      </c>
      <c r="E94" s="104">
        <f>ROUND(0.8*2.1*5+0.9*2.1*2,2)</f>
        <v>12.18</v>
      </c>
      <c r="F94" s="312" t="str">
        <f>'PLANILHA 011017'!D103</f>
        <v>M2</v>
      </c>
      <c r="G94" s="53"/>
      <c r="H94" s="53"/>
    </row>
    <row r="95" spans="1:9" s="130" customFormat="1">
      <c r="A95" s="314" t="str">
        <f>'PLANILHA 011017'!A104</f>
        <v>07.02</v>
      </c>
      <c r="B95" s="109" t="str">
        <f>'PLANILHA 011017'!B104</f>
        <v>24.02.410</v>
      </c>
      <c r="C95" s="109" t="str">
        <f>'PLANILHA 011017'!C104</f>
        <v>Porta em ferro de correr, para receber vidro, sob medida</v>
      </c>
      <c r="D95" s="112" t="s">
        <v>780</v>
      </c>
      <c r="E95" s="114">
        <f>0.8*2.1</f>
        <v>1.6800000000000002</v>
      </c>
      <c r="F95" s="315" t="str">
        <f>'PLANILHA 011017'!D104</f>
        <v>M2</v>
      </c>
    </row>
    <row r="96" spans="1:9">
      <c r="A96" s="313" t="str">
        <f>'PLANILHA 011017'!A105</f>
        <v>07.03</v>
      </c>
      <c r="B96" s="92" t="str">
        <f>'PLANILHA 011017'!B105</f>
        <v>25.02.110</v>
      </c>
      <c r="C96" s="92" t="str">
        <f>'PLANILHA 011017'!C105</f>
        <v>Porta veneziana de abrir em alumínio, sob medida</v>
      </c>
      <c r="D96" s="101" t="s">
        <v>753</v>
      </c>
      <c r="E96" s="102">
        <f>ROUND(0.6*1.7*7+0.9*1.7,2)</f>
        <v>8.67</v>
      </c>
      <c r="F96" s="312" t="str">
        <f>'PLANILHA 011017'!D105</f>
        <v>M2</v>
      </c>
    </row>
    <row r="97" spans="1:6" ht="25.5">
      <c r="A97" s="313" t="str">
        <f>'PLANILHA 011017'!A106</f>
        <v>07.04</v>
      </c>
      <c r="B97" s="92" t="str">
        <f>'PLANILHA 011017'!B106</f>
        <v>24.08.020</v>
      </c>
      <c r="C97" s="92" t="str">
        <f>'PLANILHA 011017'!C106</f>
        <v>Corrimão duplo em tubo de aço inoxidável escovado, com diâmetro de 1 1/2´ e montantes com diâmetro de 2´</v>
      </c>
      <c r="D97" s="101" t="s">
        <v>754</v>
      </c>
      <c r="E97" s="102">
        <f>ROUND(7.15+8.4+10.2+11.45+2.6+2.6,2)</f>
        <v>42.4</v>
      </c>
      <c r="F97" s="312" t="str">
        <f>'PLANILHA 011017'!D106</f>
        <v>M</v>
      </c>
    </row>
    <row r="98" spans="1:6">
      <c r="A98" s="313" t="str">
        <f>'PLANILHA 011017'!A107</f>
        <v>07.05</v>
      </c>
      <c r="B98" s="92" t="str">
        <f>'PLANILHA 011017'!B107</f>
        <v>24.02.040</v>
      </c>
      <c r="C98" s="92" t="str">
        <f>'PLANILHA 011017'!C107</f>
        <v>Porta/portão tipo gradil sob medida</v>
      </c>
      <c r="D98" s="101" t="s">
        <v>755</v>
      </c>
      <c r="E98" s="102">
        <f>1.2*1.6</f>
        <v>1.92</v>
      </c>
      <c r="F98" s="312" t="str">
        <f>'PLANILHA 011017'!D107</f>
        <v>M2</v>
      </c>
    </row>
    <row r="99" spans="1:6" ht="25.5">
      <c r="A99" s="313" t="str">
        <f>'PLANILHA 011017'!A108</f>
        <v>07.06</v>
      </c>
      <c r="B99" s="92" t="str">
        <f>'PLANILHA 011017'!B108</f>
        <v>24.03.930</v>
      </c>
      <c r="C99" s="92" t="str">
        <f>'PLANILHA 011017'!C108</f>
        <v>Porta de enrolar automatizada, em chapa de aço galvanizada microperfurada, com pintura eletrostática, com controle remoto</v>
      </c>
      <c r="D99" s="101" t="s">
        <v>756</v>
      </c>
      <c r="E99" s="102">
        <f>4*2.65</f>
        <v>10.6</v>
      </c>
      <c r="F99" s="312" t="str">
        <f>'PLANILHA 011017'!D108</f>
        <v>M2</v>
      </c>
    </row>
    <row r="100" spans="1:6" ht="114.75">
      <c r="A100" s="313" t="str">
        <f>'PLANILHA 011017'!A109</f>
        <v>07.07</v>
      </c>
      <c r="B100" s="92" t="str">
        <f>'PLANILHA 011017'!B109</f>
        <v>ORÇAMENTO*</v>
      </c>
      <c r="C100" s="92" t="str">
        <f>'PLANILHA 011017'!C109</f>
        <v>Gradil armado com tubos metalon chapas 1,20 mm , travessas (superior e inferior) tubos 40 x 40 mm, pés de sustentação tubos 50 x 50 mm, revestimento com tubos 20 x 20 mm na vertical, fundo zarcão anticorrosivo, 21,50 x 1,55 m / Portão Pivotante, quadro armado com tubos metalon 40 x 40 mm chapas 1,20 mm, revestido com tubos metalon 20 x 20 mm chapas 1,20 mm, na vertical, fundo zarcão anticorrosivo, 1,20 x 3,00 m  / Portão deslizante, quadro armado com tubos metalon 40 x 40 mm chapas 1,20 mm, trilhos superiores para deslizar portão, chapas 1,50 mm, revestido com tubos metalon 20 x 20 mm chapas 1,20 mm, vertical, fundo zarcão anticorrosivo, 2,20 x 2,50 m</v>
      </c>
      <c r="D100" s="107" t="s">
        <v>757</v>
      </c>
      <c r="E100" s="108">
        <f>ROUND(21.5*1.55+1.2*3+2.2*2.5,2)</f>
        <v>42.43</v>
      </c>
      <c r="F100" s="312" t="str">
        <f>'PLANILHA 011017'!D109</f>
        <v>M2</v>
      </c>
    </row>
    <row r="101" spans="1:6">
      <c r="A101" s="313" t="str">
        <f>'PLANILHA 011017'!A110</f>
        <v>07.08</v>
      </c>
      <c r="B101" s="92" t="str">
        <f>'PLANILHA 011017'!B110</f>
        <v>25.01.361</v>
      </c>
      <c r="C101" s="92" t="str">
        <f>'PLANILHA 011017'!C110</f>
        <v>Caixilho em alumínio maxim-ar com vidro - branco</v>
      </c>
      <c r="D101" s="101" t="s">
        <v>693</v>
      </c>
      <c r="E101" s="108">
        <f>ROUND(0.8*1.5*3+2.75*0.6+2.9*0.6,2)</f>
        <v>6.99</v>
      </c>
      <c r="F101" s="312" t="str">
        <f>'PLANILHA 011017'!D110</f>
        <v>M2</v>
      </c>
    </row>
    <row r="102" spans="1:6" ht="25.5">
      <c r="A102" s="313" t="str">
        <f>'PLANILHA 011017'!A111</f>
        <v>07.09</v>
      </c>
      <c r="B102" s="92" t="str">
        <f>'PLANILHA 011017'!B111</f>
        <v>25.01.380</v>
      </c>
      <c r="C102" s="92" t="str">
        <f>'PLANILHA 011017'!C111</f>
        <v>Caixilho em alumínio de correr com vidro - branco</v>
      </c>
      <c r="D102" s="107" t="s">
        <v>692</v>
      </c>
      <c r="E102" s="108">
        <f>ROUND(1.2*1.4*5+2*1.2,2)</f>
        <v>10.8</v>
      </c>
      <c r="F102" s="312" t="str">
        <f>'PLANILHA 011017'!D111</f>
        <v>M2</v>
      </c>
    </row>
    <row r="103" spans="1:6">
      <c r="A103" s="313" t="str">
        <f>'PLANILHA 011017'!A112</f>
        <v>07.10</v>
      </c>
      <c r="B103" s="92" t="str">
        <f>'PLANILHA 011017'!B112</f>
        <v>26.02.060</v>
      </c>
      <c r="C103" s="92" t="str">
        <f>'PLANILHA 011017'!C112</f>
        <v>Vidro temperado incolor de 10 mm</v>
      </c>
      <c r="D103" s="101" t="s">
        <v>759</v>
      </c>
      <c r="E103" s="102">
        <f>ROUND(2*2.65+1.3*2+3.9*2.65,2)</f>
        <v>18.239999999999998</v>
      </c>
      <c r="F103" s="312" t="str">
        <f>'PLANILHA 011017'!D112</f>
        <v>M2</v>
      </c>
    </row>
    <row r="104" spans="1:6">
      <c r="A104" s="313" t="str">
        <f>'PLANILHA 011017'!A113</f>
        <v>07.11</v>
      </c>
      <c r="B104" s="92" t="str">
        <f>'PLANILHA 011017'!B113</f>
        <v>26.04.010</v>
      </c>
      <c r="C104" s="92" t="str">
        <f>'PLANILHA 011017'!C113</f>
        <v>Espelho em vidro cristal liso, espessura de 4 mm</v>
      </c>
      <c r="D104" s="101" t="s">
        <v>758</v>
      </c>
      <c r="E104" s="102">
        <f>1.5+1.6</f>
        <v>3.1</v>
      </c>
      <c r="F104" s="312" t="str">
        <f>'PLANILHA 011017'!D113</f>
        <v>M2</v>
      </c>
    </row>
    <row r="105" spans="1:6">
      <c r="A105" s="313" t="str">
        <f>'PLANILHA 011017'!A114</f>
        <v>07.12</v>
      </c>
      <c r="B105" s="92" t="str">
        <f>'PLANILHA 011017'!B114</f>
        <v>28.20.590</v>
      </c>
      <c r="C105" s="92" t="str">
        <f>'PLANILHA 011017'!C114</f>
        <v>Contra fechadura de centro para porta em vidro temperado</v>
      </c>
      <c r="D105" s="112" t="s">
        <v>694</v>
      </c>
      <c r="E105" s="114">
        <v>2</v>
      </c>
      <c r="F105" s="312" t="str">
        <f>'PLANILHA 011017'!D114</f>
        <v>UN</v>
      </c>
    </row>
    <row r="106" spans="1:6">
      <c r="A106" s="313" t="str">
        <f>'PLANILHA 011017'!A115</f>
        <v>07.13</v>
      </c>
      <c r="B106" s="92" t="str">
        <f>'PLANILHA 011017'!B115</f>
        <v>28.20.600</v>
      </c>
      <c r="C106" s="92" t="str">
        <f>'PLANILHA 011017'!C115</f>
        <v>Fechadura de centro com cilindro para porta em vidro temperado</v>
      </c>
      <c r="D106" s="112" t="s">
        <v>694</v>
      </c>
      <c r="E106" s="114">
        <v>2</v>
      </c>
      <c r="F106" s="312" t="str">
        <f>'PLANILHA 011017'!D115</f>
        <v>UN</v>
      </c>
    </row>
    <row r="107" spans="1:6" ht="51">
      <c r="A107" s="313" t="str">
        <f>'PLANILHA 011017'!A116</f>
        <v>07.14</v>
      </c>
      <c r="B107" s="92" t="str">
        <f>'PLANILHA 011017'!B116</f>
        <v>SINAPI-99837</v>
      </c>
      <c r="C107" s="92" t="str">
        <f>'PLANILHA 011017'!C116</f>
        <v>Guarda-corpo de aço galvanizado de 1,10m, montantes tubulares de 1.1/4" espaçados de 1,20m, travessa superior de 1.1/2", gradil formado por tubos horizontais de 1" e verticais de 3/4", fixado com chumbador mecânico. AF_04/2019_P</v>
      </c>
      <c r="D107" s="107" t="s">
        <v>752</v>
      </c>
      <c r="E107" s="108">
        <f>11.2+8.15</f>
        <v>19.350000000000001</v>
      </c>
      <c r="F107" s="312" t="str">
        <f>'PLANILHA 011017'!D116</f>
        <v>M</v>
      </c>
    </row>
    <row r="108" spans="1:6">
      <c r="A108" s="313"/>
      <c r="B108" s="92"/>
      <c r="C108" s="92"/>
      <c r="D108" s="100"/>
      <c r="E108" s="96"/>
      <c r="F108" s="312"/>
    </row>
    <row r="109" spans="1:6">
      <c r="A109" s="313"/>
      <c r="B109" s="92"/>
      <c r="C109" s="92"/>
      <c r="D109" s="100"/>
      <c r="E109" s="96"/>
      <c r="F109" s="312"/>
    </row>
    <row r="110" spans="1:6">
      <c r="A110" s="311" t="str">
        <f>'PLANILHA 011017'!A119</f>
        <v>08.00</v>
      </c>
      <c r="B110" s="89"/>
      <c r="C110" s="111" t="str">
        <f>'PLANILHA 011017'!C119</f>
        <v>ACESSIBILIDADE</v>
      </c>
      <c r="D110" s="100"/>
      <c r="E110" s="96"/>
      <c r="F110" s="312"/>
    </row>
    <row r="111" spans="1:6" ht="25.5">
      <c r="A111" s="313" t="str">
        <f>'PLANILHA 011017'!A120</f>
        <v>08.01</v>
      </c>
      <c r="B111" s="92" t="str">
        <f>'PLANILHA 011017'!B120</f>
        <v>30.01.030</v>
      </c>
      <c r="C111" s="92" t="str">
        <f>'PLANILHA 011017'!C120</f>
        <v>Barra de apoio reta, para pessoas com mobilidade reduzida, em tubo de aço inoxidável de 1 1/2´ x 800 mm</v>
      </c>
      <c r="D111" s="101" t="s">
        <v>578</v>
      </c>
      <c r="E111" s="102">
        <v>2</v>
      </c>
      <c r="F111" s="312" t="str">
        <f>'PLANILHA 011017'!D120</f>
        <v>UN</v>
      </c>
    </row>
    <row r="112" spans="1:6">
      <c r="A112" s="313" t="str">
        <f>'PLANILHA 011017'!A121</f>
        <v>08.02</v>
      </c>
      <c r="B112" s="92" t="str">
        <f>'PLANILHA 011017'!B121</f>
        <v>30.06.010</v>
      </c>
      <c r="C112" s="92" t="str">
        <f>'PLANILHA 011017'!C121</f>
        <v>Placa para sinalização tátil (início ou final) em braile para corrimão</v>
      </c>
      <c r="D112" s="101" t="s">
        <v>579</v>
      </c>
      <c r="E112" s="102">
        <v>12</v>
      </c>
      <c r="F112" s="312" t="str">
        <f>'PLANILHA 011017'!D121</f>
        <v>UN</v>
      </c>
    </row>
    <row r="113" spans="1:6" ht="25.5">
      <c r="A113" s="313" t="str">
        <f>'PLANILHA 011017'!A122</f>
        <v>08.03</v>
      </c>
      <c r="B113" s="92" t="str">
        <f>'PLANILHA 011017'!B122</f>
        <v>30.06.020</v>
      </c>
      <c r="C113" s="92" t="str">
        <f>'PLANILHA 011017'!C122</f>
        <v>Placa para sinalização tátil (pavimento) em braile para corrimão</v>
      </c>
      <c r="D113" s="101" t="s">
        <v>654</v>
      </c>
      <c r="E113" s="102">
        <v>8</v>
      </c>
      <c r="F113" s="312" t="str">
        <f>'PLANILHA 011017'!D122</f>
        <v>UN</v>
      </c>
    </row>
    <row r="114" spans="1:6" ht="25.5">
      <c r="A114" s="313" t="str">
        <f>'PLANILHA 011017'!A123</f>
        <v>08.04</v>
      </c>
      <c r="B114" s="92" t="str">
        <f>'PLANILHA 011017'!B123</f>
        <v>30.06.080</v>
      </c>
      <c r="C114" s="92" t="str">
        <f>'PLANILHA 011017'!C123</f>
        <v>Placa de identificação em alumínio para WC, com desenho universal de acessibilidade</v>
      </c>
      <c r="D114" s="101" t="s">
        <v>626</v>
      </c>
      <c r="E114" s="102">
        <v>4</v>
      </c>
      <c r="F114" s="312" t="str">
        <f>'PLANILHA 011017'!D123</f>
        <v>UN</v>
      </c>
    </row>
    <row r="115" spans="1:6">
      <c r="A115" s="313"/>
      <c r="B115" s="92"/>
      <c r="C115" s="92"/>
      <c r="D115" s="100"/>
      <c r="E115" s="96"/>
      <c r="F115" s="312"/>
    </row>
    <row r="116" spans="1:6">
      <c r="A116" s="313"/>
      <c r="B116" s="92"/>
      <c r="C116" s="92"/>
      <c r="D116" s="100"/>
      <c r="E116" s="96"/>
      <c r="F116" s="312"/>
    </row>
    <row r="117" spans="1:6">
      <c r="A117" s="311" t="str">
        <f>'PLANILHA 011017'!A126</f>
        <v>09.00</v>
      </c>
      <c r="B117" s="89"/>
      <c r="C117" s="111" t="str">
        <f>'PLANILHA 011017'!C126</f>
        <v>PINTURA</v>
      </c>
      <c r="D117" s="100"/>
      <c r="E117" s="96"/>
      <c r="F117" s="312"/>
    </row>
    <row r="118" spans="1:6" ht="25.5">
      <c r="A118" s="313" t="str">
        <f>'PLANILHA 011017'!A127</f>
        <v>09.01</v>
      </c>
      <c r="B118" s="92" t="str">
        <f>'PLANILHA 011017'!B127</f>
        <v>33.01.350</v>
      </c>
      <c r="C118" s="109" t="str">
        <f>'PLANILHA 011017'!C127</f>
        <v>Preparo de base para superfície metálica com fundo antioxidante</v>
      </c>
      <c r="D118" s="101" t="s">
        <v>778</v>
      </c>
      <c r="E118" s="102">
        <f>ROUND(0.36*25.3*6*2+0.1*0.5*41*6*2+0.185*18*24.3*2,2)</f>
        <v>295.73</v>
      </c>
      <c r="F118" s="312" t="str">
        <f>'PLANILHA 011017'!D127</f>
        <v>M2</v>
      </c>
    </row>
    <row r="119" spans="1:6">
      <c r="A119" s="313" t="str">
        <f>'PLANILHA 011017'!A128</f>
        <v>09.02</v>
      </c>
      <c r="B119" s="92" t="str">
        <f>'PLANILHA 011017'!B128</f>
        <v>33.02.080</v>
      </c>
      <c r="C119" s="109" t="str">
        <f>'PLANILHA 011017'!C128</f>
        <v>Massa corrida à base de resina acrílica</v>
      </c>
      <c r="D119" s="101" t="s">
        <v>876</v>
      </c>
      <c r="E119" s="102">
        <f>673.71+158.44</f>
        <v>832.15000000000009</v>
      </c>
      <c r="F119" s="312" t="str">
        <f>'PLANILHA 011017'!D128</f>
        <v>M2</v>
      </c>
    </row>
    <row r="120" spans="1:6" ht="25.5">
      <c r="A120" s="313" t="str">
        <f>'PLANILHA 011017'!A129</f>
        <v>09.03</v>
      </c>
      <c r="B120" s="92" t="str">
        <f>'PLANILHA 011017'!B129</f>
        <v>33.07.102</v>
      </c>
      <c r="C120" s="109" t="str">
        <f>'PLANILHA 011017'!C129</f>
        <v>Esmalte a base de água em estrutura metálica</v>
      </c>
      <c r="D120" s="101" t="s">
        <v>779</v>
      </c>
      <c r="E120" s="102">
        <f>ROUND(0.36*25.3*6*2+0.1*0.5*41*6*2+0.185*18*24.3*2,2)</f>
        <v>295.73</v>
      </c>
      <c r="F120" s="312" t="str">
        <f>'PLANILHA 011017'!D129</f>
        <v>M2</v>
      </c>
    </row>
    <row r="121" spans="1:6">
      <c r="A121" s="313" t="str">
        <f>'PLANILHA 011017'!A130</f>
        <v>09.04</v>
      </c>
      <c r="B121" s="92" t="str">
        <f>'PLANILHA 011017'!B130</f>
        <v>33.10.030</v>
      </c>
      <c r="C121" s="109" t="str">
        <f>'PLANILHA 011017'!C130</f>
        <v>Tinta acrílica antimofo em massa, inclusive preparo</v>
      </c>
      <c r="D121" s="101" t="s">
        <v>875</v>
      </c>
      <c r="E121" s="102">
        <v>158.44</v>
      </c>
      <c r="F121" s="312" t="str">
        <f>'PLANILHA 011017'!D130</f>
        <v>M2</v>
      </c>
    </row>
    <row r="122" spans="1:6">
      <c r="A122" s="313" t="str">
        <f>'PLANILHA 011017'!A131</f>
        <v>09.05</v>
      </c>
      <c r="B122" s="92" t="str">
        <f>'PLANILHA 011017'!B131</f>
        <v>33.10.041</v>
      </c>
      <c r="C122" s="109" t="str">
        <f>'PLANILHA 011017'!C131</f>
        <v>Esmalte à base de água em massa, inclusive preparo</v>
      </c>
      <c r="D122" s="101" t="s">
        <v>881</v>
      </c>
      <c r="E122" s="102">
        <v>1028.8</v>
      </c>
      <c r="F122" s="312" t="str">
        <f>'PLANILHA 011017'!D131</f>
        <v>M2</v>
      </c>
    </row>
    <row r="123" spans="1:6" ht="38.25">
      <c r="A123" s="313" t="str">
        <f>'PLANILHA 011017'!A132</f>
        <v>09.06</v>
      </c>
      <c r="B123" s="92" t="str">
        <f>'PLANILHA 011017'!B132</f>
        <v>33.11.050</v>
      </c>
      <c r="C123" s="92" t="str">
        <f>'PLANILHA 011017'!C132</f>
        <v>Esmalte à base água em superfície metálica, inclusive preparo</v>
      </c>
      <c r="D123" s="101" t="s">
        <v>882</v>
      </c>
      <c r="E123" s="102">
        <f>ROUND(21.5*1.55+1.2*3+2.2*2.5+424.64+1.2*1.6+2.1*0.8*6*2+2.1*0.9*2*2,2)</f>
        <v>496.71</v>
      </c>
      <c r="F123" s="312" t="str">
        <f>'PLANILHA 011017'!D132</f>
        <v>M2</v>
      </c>
    </row>
    <row r="124" spans="1:6">
      <c r="A124" s="313"/>
      <c r="B124" s="92"/>
      <c r="C124" s="109"/>
      <c r="D124" s="101"/>
      <c r="E124" s="102"/>
      <c r="F124" s="312"/>
    </row>
    <row r="125" spans="1:6">
      <c r="A125" s="313"/>
      <c r="B125" s="92"/>
      <c r="C125" s="109"/>
      <c r="D125" s="101"/>
      <c r="E125" s="102"/>
      <c r="F125" s="312"/>
    </row>
    <row r="126" spans="1:6">
      <c r="A126" s="311" t="str">
        <f>'PLANILHA 011017'!A135</f>
        <v>10.00</v>
      </c>
      <c r="B126" s="92"/>
      <c r="C126" s="113" t="str">
        <f>'PLANILHA 011017'!C135</f>
        <v>INSTALAÇÕES ELÉTRICAS</v>
      </c>
      <c r="D126" s="101"/>
      <c r="E126" s="102"/>
      <c r="F126" s="312"/>
    </row>
    <row r="127" spans="1:6" ht="25.5">
      <c r="A127" s="313" t="str">
        <f>'PLANILHA 011017'!A136</f>
        <v>10.01</v>
      </c>
      <c r="B127" s="92" t="str">
        <f>'PLANILHA 011017'!B136</f>
        <v>37.03.240</v>
      </c>
      <c r="C127" s="109" t="str">
        <f>'PLANILHA 011017'!C136</f>
        <v>Quadro de distribuição universal de embutir, para disjuntores 56 DIN / 40 Bolt-on - 225 A - sem componentes</v>
      </c>
      <c r="D127" s="101" t="s">
        <v>625</v>
      </c>
      <c r="E127" s="102">
        <v>1</v>
      </c>
      <c r="F127" s="312" t="str">
        <f>'PLANILHA 011017'!D136</f>
        <v>UN</v>
      </c>
    </row>
    <row r="128" spans="1:6">
      <c r="A128" s="313" t="str">
        <f>'PLANILHA 011017'!A137</f>
        <v>10.02</v>
      </c>
      <c r="B128" s="92" t="str">
        <f>'PLANILHA 011017'!B137</f>
        <v>37.13.600</v>
      </c>
      <c r="C128" s="109" t="str">
        <f>'PLANILHA 011017'!C137</f>
        <v>Disjuntor termomagnético, unipolar 127/220 V, corrente de 10 A até 30 A</v>
      </c>
      <c r="D128" s="101" t="s">
        <v>794</v>
      </c>
      <c r="E128" s="102">
        <v>32</v>
      </c>
      <c r="F128" s="312" t="str">
        <f>'PLANILHA 011017'!D137</f>
        <v>UN</v>
      </c>
    </row>
    <row r="129" spans="1:6">
      <c r="A129" s="313" t="str">
        <f>'PLANILHA 011017'!A138</f>
        <v>10.03</v>
      </c>
      <c r="B129" s="92" t="str">
        <f>'PLANILHA 011017'!B138</f>
        <v>37.13.660</v>
      </c>
      <c r="C129" s="109" t="str">
        <f>'PLANILHA 011017'!C138</f>
        <v>Disjuntor termomagnético, tripolar 220/380 V, corrente de 60 A até 100 A</v>
      </c>
      <c r="D129" s="101">
        <v>1</v>
      </c>
      <c r="E129" s="102">
        <v>1</v>
      </c>
      <c r="F129" s="312" t="str">
        <f>'PLANILHA 011017'!D138</f>
        <v>UN</v>
      </c>
    </row>
    <row r="130" spans="1:6" ht="25.5">
      <c r="A130" s="313" t="str">
        <f>'PLANILHA 011017'!A139</f>
        <v>10.04</v>
      </c>
      <c r="B130" s="92" t="str">
        <f>'PLANILHA 011017'!B139</f>
        <v>37.24.042</v>
      </c>
      <c r="C130" s="109" t="str">
        <f>'PLANILHA 011017'!C139</f>
        <v>Dispositivo de proteção contra surto, 1 polo, suportabilidade &lt;= 4 kV, Un até 240V/415V, Iimp = 60 kA, curva de ensaio 10/350µs - classe 1</v>
      </c>
      <c r="D130" s="101" t="s">
        <v>637</v>
      </c>
      <c r="E130" s="102">
        <v>4</v>
      </c>
      <c r="F130" s="312" t="str">
        <f>'PLANILHA 011017'!D139</f>
        <v>UN</v>
      </c>
    </row>
    <row r="131" spans="1:6">
      <c r="A131" s="313" t="str">
        <f>'PLANILHA 011017'!A140</f>
        <v>10.05</v>
      </c>
      <c r="B131" s="92" t="str">
        <f>'PLANILHA 011017'!B140</f>
        <v>37.17.100</v>
      </c>
      <c r="C131" s="109" t="str">
        <f>'PLANILHA 011017'!C140</f>
        <v>Dispositivo diferencial residual de 80 A x 30 mA - 4 polos</v>
      </c>
      <c r="D131" s="101" t="s">
        <v>625</v>
      </c>
      <c r="E131" s="102">
        <v>1</v>
      </c>
      <c r="F131" s="312" t="str">
        <f>'PLANILHA 011017'!D140</f>
        <v>UN</v>
      </c>
    </row>
    <row r="132" spans="1:6">
      <c r="A132" s="313" t="str">
        <f>'PLANILHA 011017'!A141</f>
        <v>10.06</v>
      </c>
      <c r="B132" s="92" t="str">
        <f>'PLANILHA 011017'!B141</f>
        <v>38.01.040</v>
      </c>
      <c r="C132" s="109" t="str">
        <f>'PLANILHA 011017'!C141</f>
        <v>Eletroduto de PVC rígido roscável de 3/4´ - com acessórios</v>
      </c>
      <c r="D132" s="101" t="s">
        <v>798</v>
      </c>
      <c r="E132" s="101">
        <v>331.9</v>
      </c>
      <c r="F132" s="312" t="str">
        <f>'PLANILHA 011017'!D141</f>
        <v>M</v>
      </c>
    </row>
    <row r="133" spans="1:6">
      <c r="A133" s="313" t="str">
        <f>'PLANILHA 011017'!A142</f>
        <v>10.07</v>
      </c>
      <c r="B133" s="92" t="str">
        <f>'PLANILHA 011017'!B142</f>
        <v>38.01.060</v>
      </c>
      <c r="C133" s="109" t="str">
        <f>'PLANILHA 011017'!C142</f>
        <v>Eletroduto de PVC rígido roscável de 1´ - com acessórios</v>
      </c>
      <c r="D133" s="101" t="s">
        <v>797</v>
      </c>
      <c r="E133" s="101">
        <v>85.8</v>
      </c>
      <c r="F133" s="312" t="str">
        <f>'PLANILHA 011017'!D142</f>
        <v>M</v>
      </c>
    </row>
    <row r="134" spans="1:6">
      <c r="A134" s="313" t="str">
        <f>'PLANILHA 011017'!A143</f>
        <v>10.08</v>
      </c>
      <c r="B134" s="92" t="str">
        <f>'PLANILHA 011017'!B143</f>
        <v>38.01.080</v>
      </c>
      <c r="C134" s="109" t="str">
        <f>'PLANILHA 011017'!C143</f>
        <v>Eletroduto de PVC rígido roscável de 1 1/4´ - com acessórios</v>
      </c>
      <c r="D134" s="101" t="s">
        <v>745</v>
      </c>
      <c r="E134" s="101">
        <v>24.4</v>
      </c>
      <c r="F134" s="312" t="str">
        <f>'PLANILHA 011017'!D143</f>
        <v>M</v>
      </c>
    </row>
    <row r="135" spans="1:6">
      <c r="A135" s="313" t="str">
        <f>'PLANILHA 011017'!A144</f>
        <v>10.09</v>
      </c>
      <c r="B135" s="92" t="str">
        <f>'PLANILHA 011017'!B144</f>
        <v>38.01.100</v>
      </c>
      <c r="C135" s="109" t="str">
        <f>'PLANILHA 011017'!C144</f>
        <v>Eletroduto de PVC rígido roscável de 1 1/2´ - com acessórios</v>
      </c>
      <c r="D135" s="101" t="s">
        <v>744</v>
      </c>
      <c r="E135" s="101">
        <v>35.200000000000003</v>
      </c>
      <c r="F135" s="312" t="str">
        <f>'PLANILHA 011017'!D144</f>
        <v>M</v>
      </c>
    </row>
    <row r="136" spans="1:6">
      <c r="A136" s="313" t="str">
        <f>'PLANILHA 011017'!A145</f>
        <v>10.10</v>
      </c>
      <c r="B136" s="92" t="str">
        <f>'PLANILHA 011017'!B145</f>
        <v>38.01.120</v>
      </c>
      <c r="C136" s="109" t="str">
        <f>'PLANILHA 011017'!C145</f>
        <v>Eletroduto de PVC rígido roscável de 2´ - com acessórios</v>
      </c>
      <c r="D136" s="101" t="s">
        <v>743</v>
      </c>
      <c r="E136" s="101">
        <v>25.9</v>
      </c>
      <c r="F136" s="312" t="str">
        <f>'PLANILHA 011017'!D145</f>
        <v>M</v>
      </c>
    </row>
    <row r="137" spans="1:6" ht="25.5">
      <c r="A137" s="313" t="str">
        <f>'PLANILHA 011017'!A146</f>
        <v>10.11</v>
      </c>
      <c r="B137" s="92" t="str">
        <f>'PLANILHA 011017'!B146</f>
        <v>38.13.016</v>
      </c>
      <c r="C137" s="109" t="str">
        <f>'PLANILHA 011017'!C146</f>
        <v>Eletroduto corrugado em polietileno de alta densidade, DN= 40 mm, com acessórios</v>
      </c>
      <c r="D137" s="101" t="s">
        <v>748</v>
      </c>
      <c r="E137" s="101">
        <v>15.1</v>
      </c>
      <c r="F137" s="312" t="str">
        <f>'PLANILHA 011017'!D146</f>
        <v>M</v>
      </c>
    </row>
    <row r="138" spans="1:6" ht="25.5">
      <c r="A138" s="313" t="str">
        <f>'PLANILHA 011017'!A147</f>
        <v>10.12</v>
      </c>
      <c r="B138" s="92" t="str">
        <f>'PLANILHA 011017'!B147</f>
        <v>38.13.020</v>
      </c>
      <c r="C138" s="109" t="str">
        <f>'PLANILHA 011017'!C147</f>
        <v>Eletroduto corrugado em polietileno de alta densidade, DN= 50 mm, com acessórios</v>
      </c>
      <c r="D138" s="101" t="s">
        <v>747</v>
      </c>
      <c r="E138" s="101">
        <v>38.799999999999997</v>
      </c>
      <c r="F138" s="312" t="str">
        <f>'PLANILHA 011017'!D147</f>
        <v>M</v>
      </c>
    </row>
    <row r="139" spans="1:6">
      <c r="A139" s="313" t="str">
        <f>'PLANILHA 011017'!A148</f>
        <v>10.13</v>
      </c>
      <c r="B139" s="92" t="str">
        <f>'PLANILHA 011017'!B148</f>
        <v>38.19.020</v>
      </c>
      <c r="C139" s="109" t="str">
        <f>'PLANILHA 011017'!C148</f>
        <v>Eletroduto de PVC corrugado flexível leve, diâmetro externo de 20 mm</v>
      </c>
      <c r="D139" s="101" t="s">
        <v>746</v>
      </c>
      <c r="E139" s="101">
        <v>41.3</v>
      </c>
      <c r="F139" s="312" t="str">
        <f>'PLANILHA 011017'!D148</f>
        <v>M</v>
      </c>
    </row>
    <row r="140" spans="1:6">
      <c r="A140" s="313" t="str">
        <f>'PLANILHA 011017'!A149</f>
        <v>10.14</v>
      </c>
      <c r="B140" s="92" t="str">
        <f>'PLANILHA 011017'!B149</f>
        <v>38.19.030</v>
      </c>
      <c r="C140" s="109" t="str">
        <f>'PLANILHA 011017'!C149</f>
        <v>Eletroduto de PVC corrugado flexível leve, diâmetro externo de 25 mm</v>
      </c>
      <c r="D140" s="101" t="s">
        <v>796</v>
      </c>
      <c r="E140" s="101">
        <v>9.8000000000000007</v>
      </c>
      <c r="F140" s="312" t="str">
        <f>'PLANILHA 011017'!D149</f>
        <v>M</v>
      </c>
    </row>
    <row r="141" spans="1:6">
      <c r="A141" s="313" t="str">
        <f>'PLANILHA 011017'!A150</f>
        <v>10.15</v>
      </c>
      <c r="B141" s="92" t="str">
        <f>'PLANILHA 011017'!B150</f>
        <v>39.03.160</v>
      </c>
      <c r="C141" s="109" t="str">
        <f>'PLANILHA 011017'!C150</f>
        <v>Cabo de cobre de 1,5 mm², isolamento 0,6/1 kV - isolação em PVC 70°C</v>
      </c>
      <c r="D141" s="102" t="s">
        <v>742</v>
      </c>
      <c r="E141" s="102">
        <v>119.1</v>
      </c>
      <c r="F141" s="312" t="str">
        <f>'PLANILHA 011017'!D150</f>
        <v>M</v>
      </c>
    </row>
    <row r="142" spans="1:6">
      <c r="A142" s="313" t="str">
        <f>'PLANILHA 011017'!A151</f>
        <v>10.16</v>
      </c>
      <c r="B142" s="92" t="str">
        <f>'PLANILHA 011017'!B151</f>
        <v>39.03.170</v>
      </c>
      <c r="C142" s="109" t="str">
        <f>'PLANILHA 011017'!C151</f>
        <v>Cabo de cobre de 2,5 mm², isolamento 0,6/1 kV - isolação em PVC 70°C</v>
      </c>
      <c r="D142" s="101" t="s">
        <v>793</v>
      </c>
      <c r="E142" s="101">
        <v>1786.5</v>
      </c>
      <c r="F142" s="312" t="str">
        <f>'PLANILHA 011017'!D151</f>
        <v>M</v>
      </c>
    </row>
    <row r="143" spans="1:6">
      <c r="A143" s="313" t="str">
        <f>'PLANILHA 011017'!A152</f>
        <v>10.17</v>
      </c>
      <c r="B143" s="92" t="str">
        <f>'PLANILHA 011017'!B152</f>
        <v>39.03.174</v>
      </c>
      <c r="C143" s="109" t="str">
        <f>'PLANILHA 011017'!C152</f>
        <v>Cabo de cobre de 4 mm², isolamento 0,6/1 kV - isolação em PVC 70°C.</v>
      </c>
      <c r="D143" s="101" t="s">
        <v>792</v>
      </c>
      <c r="E143" s="101">
        <f>103.4+744.5</f>
        <v>847.9</v>
      </c>
      <c r="F143" s="312" t="str">
        <f>'PLANILHA 011017'!D152</f>
        <v>M</v>
      </c>
    </row>
    <row r="144" spans="1:6">
      <c r="A144" s="313" t="str">
        <f>'PLANILHA 011017'!A153</f>
        <v>10.18</v>
      </c>
      <c r="B144" s="92" t="str">
        <f>'PLANILHA 011017'!B153</f>
        <v>39.03.182</v>
      </c>
      <c r="C144" s="109" t="str">
        <f>'PLANILHA 011017'!C153</f>
        <v>Cabo de cobre de 10 mm², isolamento 0,6/1 kV - isolação em PVC 70°C</v>
      </c>
      <c r="D144" s="101" t="s">
        <v>741</v>
      </c>
      <c r="E144" s="101">
        <v>443.3</v>
      </c>
      <c r="F144" s="312" t="str">
        <f>'PLANILHA 011017'!D153</f>
        <v>M</v>
      </c>
    </row>
    <row r="145" spans="1:6">
      <c r="A145" s="313" t="str">
        <f>'PLANILHA 011017'!A154</f>
        <v>10.19</v>
      </c>
      <c r="B145" s="92" t="str">
        <f>'PLANILHA 011017'!B154</f>
        <v>39.21.060</v>
      </c>
      <c r="C145" s="109" t="str">
        <f>'PLANILHA 011017'!C154</f>
        <v>Cabo de cobre flexível de 16 mm², isolamento 0,6/1kV - isolação HEPR 90°C</v>
      </c>
      <c r="D145" s="101" t="s">
        <v>791</v>
      </c>
      <c r="E145" s="101">
        <v>64.599999999999994</v>
      </c>
      <c r="F145" s="312" t="str">
        <f>'PLANILHA 011017'!D154</f>
        <v>M</v>
      </c>
    </row>
    <row r="146" spans="1:6">
      <c r="A146" s="313" t="str">
        <f>'PLANILHA 011017'!A155</f>
        <v>10.20</v>
      </c>
      <c r="B146" s="92" t="str">
        <f>'PLANILHA 011017'!B155</f>
        <v>39.21.070</v>
      </c>
      <c r="C146" s="109" t="str">
        <f>'PLANILHA 011017'!C155</f>
        <v>Cabo de cobre flexível de 25 mm², isolamento 0,6/1kV - isolação HEPR 90°C</v>
      </c>
      <c r="D146" s="101" t="s">
        <v>740</v>
      </c>
      <c r="E146" s="101">
        <v>18.100000000000001</v>
      </c>
      <c r="F146" s="312" t="str">
        <f>'PLANILHA 011017'!D155</f>
        <v>M</v>
      </c>
    </row>
    <row r="147" spans="1:6">
      <c r="A147" s="313" t="str">
        <f>'PLANILHA 011017'!A156</f>
        <v>10.21</v>
      </c>
      <c r="B147" s="92" t="str">
        <f>'PLANILHA 011017'!B156</f>
        <v>40.01.090</v>
      </c>
      <c r="C147" s="109" t="str">
        <f>'PLANILHA 011017'!C156</f>
        <v>Caixa de ferro estampada octogonal de 3´ x 3´</v>
      </c>
      <c r="D147" s="101">
        <v>51</v>
      </c>
      <c r="E147" s="101">
        <v>51</v>
      </c>
      <c r="F147" s="312" t="str">
        <f>'PLANILHA 011017'!D156</f>
        <v>UN</v>
      </c>
    </row>
    <row r="148" spans="1:6">
      <c r="A148" s="313" t="str">
        <f>'PLANILHA 011017'!A157</f>
        <v>10.22</v>
      </c>
      <c r="B148" s="92" t="str">
        <f>'PLANILHA 011017'!B157</f>
        <v>40.07.010</v>
      </c>
      <c r="C148" s="109" t="str">
        <f>'PLANILHA 011017'!C157</f>
        <v>Caixa em PVC de 4´ x 2´</v>
      </c>
      <c r="D148" s="101">
        <v>63</v>
      </c>
      <c r="E148" s="101">
        <v>63</v>
      </c>
      <c r="F148" s="312" t="str">
        <f>'PLANILHA 011017'!D157</f>
        <v>UN</v>
      </c>
    </row>
    <row r="149" spans="1:6">
      <c r="A149" s="313" t="str">
        <f>'PLANILHA 011017'!A158</f>
        <v>10.23</v>
      </c>
      <c r="B149" s="92" t="str">
        <f>'PLANILHA 011017'!B158</f>
        <v>40.02.020</v>
      </c>
      <c r="C149" s="109" t="str">
        <f>'PLANILHA 011017'!C158</f>
        <v>Caixa de passagem em chapa, com tampa parafusada, 100 x 100 x 80 mm</v>
      </c>
      <c r="D149" s="101" t="s">
        <v>650</v>
      </c>
      <c r="E149" s="102">
        <v>71</v>
      </c>
      <c r="F149" s="312" t="str">
        <f>'PLANILHA 011017'!D158</f>
        <v>UN</v>
      </c>
    </row>
    <row r="150" spans="1:6">
      <c r="A150" s="313" t="str">
        <f>'PLANILHA 011017'!A159</f>
        <v>10.24</v>
      </c>
      <c r="B150" s="92" t="str">
        <f>'PLANILHA 011017'!B159</f>
        <v>40.04.450</v>
      </c>
      <c r="C150" s="109" t="str">
        <f>'PLANILHA 011017'!C159</f>
        <v>Tomada 2P+T de 10 A - 250 V, completa</v>
      </c>
      <c r="D150" s="101" t="s">
        <v>795</v>
      </c>
      <c r="E150" s="102">
        <v>21</v>
      </c>
      <c r="F150" s="312" t="str">
        <f>'PLANILHA 011017'!D159</f>
        <v>CJ</v>
      </c>
    </row>
    <row r="151" spans="1:6">
      <c r="A151" s="313" t="str">
        <f>'PLANILHA 011017'!A160</f>
        <v>10.25</v>
      </c>
      <c r="B151" s="92" t="str">
        <f>'PLANILHA 011017'!B160</f>
        <v>40.04.460</v>
      </c>
      <c r="C151" s="109" t="str">
        <f>'PLANILHA 011017'!C160</f>
        <v>Tomada 2P+T de 20 A - 250 V, completa</v>
      </c>
      <c r="D151" s="101">
        <v>4</v>
      </c>
      <c r="E151" s="102">
        <v>4</v>
      </c>
      <c r="F151" s="312" t="str">
        <f>'PLANILHA 011017'!D160</f>
        <v>CJ</v>
      </c>
    </row>
    <row r="152" spans="1:6">
      <c r="A152" s="313" t="str">
        <f>'PLANILHA 011017'!A161</f>
        <v>10.26</v>
      </c>
      <c r="B152" s="92" t="str">
        <f>'PLANILHA 011017'!B161</f>
        <v>40.04.470</v>
      </c>
      <c r="C152" s="109" t="str">
        <f>'PLANILHA 011017'!C161</f>
        <v>Conjunto 2 tomadas 2P+T de 10 A, completo</v>
      </c>
      <c r="D152" s="101" t="s">
        <v>623</v>
      </c>
      <c r="E152" s="102">
        <v>16</v>
      </c>
      <c r="F152" s="312" t="str">
        <f>'PLANILHA 011017'!D161</f>
        <v>CJ</v>
      </c>
    </row>
    <row r="153" spans="1:6">
      <c r="A153" s="313" t="str">
        <f>'PLANILHA 011017'!A162</f>
        <v>10.27</v>
      </c>
      <c r="B153" s="92" t="str">
        <f>'PLANILHA 011017'!B162</f>
        <v>40.04.480</v>
      </c>
      <c r="C153" s="109" t="str">
        <f>'PLANILHA 011017'!C162</f>
        <v>Conjunto 1 interruptor simples e 1 tomada 2P+T de 10 A, completo</v>
      </c>
      <c r="D153" s="101" t="s">
        <v>624</v>
      </c>
      <c r="E153" s="102">
        <v>7</v>
      </c>
      <c r="F153" s="312" t="str">
        <f>'PLANILHA 011017'!D162</f>
        <v>CJ</v>
      </c>
    </row>
    <row r="154" spans="1:6">
      <c r="A154" s="313" t="str">
        <f>'PLANILHA 011017'!A163</f>
        <v>10.28</v>
      </c>
      <c r="B154" s="92" t="str">
        <f>'PLANILHA 011017'!B163</f>
        <v>40.04.490</v>
      </c>
      <c r="C154" s="109" t="str">
        <f>'PLANILHA 011017'!C163</f>
        <v>Conjunto 2 interruptores simples e 1 tomada 2P+T de 10 A, completo</v>
      </c>
      <c r="D154" s="101" t="s">
        <v>625</v>
      </c>
      <c r="E154" s="102">
        <v>1</v>
      </c>
      <c r="F154" s="312" t="str">
        <f>'PLANILHA 011017'!D163</f>
        <v>CJ</v>
      </c>
    </row>
    <row r="155" spans="1:6">
      <c r="A155" s="313" t="str">
        <f>'PLANILHA 011017'!A164</f>
        <v>10.29</v>
      </c>
      <c r="B155" s="92" t="str">
        <f>'PLANILHA 011017'!B164</f>
        <v>40.05.040</v>
      </c>
      <c r="C155" s="109" t="str">
        <f>'PLANILHA 011017'!C164</f>
        <v>Interruptor com 2 teclas simples e placa</v>
      </c>
      <c r="D155" s="101" t="s">
        <v>625</v>
      </c>
      <c r="E155" s="102">
        <v>1</v>
      </c>
      <c r="F155" s="312" t="str">
        <f>'PLANILHA 011017'!D164</f>
        <v>CJ</v>
      </c>
    </row>
    <row r="156" spans="1:6">
      <c r="A156" s="313" t="str">
        <f>'PLANILHA 011017'!A165</f>
        <v>10.30</v>
      </c>
      <c r="B156" s="92" t="str">
        <f>'PLANILHA 011017'!B165</f>
        <v>41.02.580</v>
      </c>
      <c r="C156" s="109" t="str">
        <f>'PLANILHA 011017'!C165</f>
        <v>Lâmpada LED 13,5W, com base E-27, 1400 até 1510lm</v>
      </c>
      <c r="D156" s="101" t="s">
        <v>621</v>
      </c>
      <c r="E156" s="102">
        <v>12</v>
      </c>
      <c r="F156" s="312" t="str">
        <f>'PLANILHA 011017'!D165</f>
        <v>UN</v>
      </c>
    </row>
    <row r="157" spans="1:6">
      <c r="A157" s="313" t="str">
        <f>'PLANILHA 011017'!A166</f>
        <v>10.31</v>
      </c>
      <c r="B157" s="92" t="str">
        <f>'PLANILHA 011017'!B166</f>
        <v>41.13.102</v>
      </c>
      <c r="C157" s="109" t="str">
        <f>'PLANILHA 011017'!C166</f>
        <v>Luminária blindada tipo arandela de 45º e 90º, para lâmpada LED</v>
      </c>
      <c r="D157" s="101" t="s">
        <v>622</v>
      </c>
      <c r="E157" s="102">
        <v>12</v>
      </c>
      <c r="F157" s="312" t="str">
        <f>'PLANILHA 011017'!D166</f>
        <v>UN</v>
      </c>
    </row>
    <row r="158" spans="1:6" ht="25.5">
      <c r="A158" s="313" t="str">
        <f>'PLANILHA 011017'!A167</f>
        <v>10.32</v>
      </c>
      <c r="B158" s="92" t="str">
        <f>'PLANILHA 011017'!B167</f>
        <v>41.31.040</v>
      </c>
      <c r="C158" s="109" t="str">
        <f>'PLANILHA 011017'!C167</f>
        <v>Luminária LED retangular de sobrepor com difusor translúcido, 4000 K, fluxo luminoso de 3690 a 4800 lm, potência de 38 a 41 W</v>
      </c>
      <c r="D158" s="101" t="s">
        <v>619</v>
      </c>
      <c r="E158" s="102">
        <v>46</v>
      </c>
      <c r="F158" s="312" t="str">
        <f>'PLANILHA 011017'!D167</f>
        <v>UN</v>
      </c>
    </row>
    <row r="159" spans="1:6" ht="25.5">
      <c r="A159" s="313" t="str">
        <f>'PLANILHA 011017'!A168</f>
        <v>10.33</v>
      </c>
      <c r="B159" s="92" t="str">
        <f>'PLANILHA 011017'!B168</f>
        <v>41.31.087</v>
      </c>
      <c r="C159" s="109" t="str">
        <f>'PLANILHA 011017'!C168</f>
        <v>Luminária LED redonda de sobrepor com difusor recuado translucido, 4000 K, fluxo luminoso de 1900 a 2000 lm, potência de 17 a 19 W</v>
      </c>
      <c r="D159" s="101" t="s">
        <v>620</v>
      </c>
      <c r="E159" s="102">
        <v>5</v>
      </c>
      <c r="F159" s="312" t="str">
        <f>'PLANILHA 011017'!D168</f>
        <v>UN</v>
      </c>
    </row>
    <row r="160" spans="1:6">
      <c r="A160" s="313" t="str">
        <f>'PLANILHA 011017'!A169</f>
        <v>10.34</v>
      </c>
      <c r="B160" s="92" t="str">
        <f>'PLANILHA 011017'!B169</f>
        <v>40.10.016</v>
      </c>
      <c r="C160" s="109" t="str">
        <f>'PLANILHA 011017'!C169</f>
        <v>Contator de potência 12 A - 1na+1nf</v>
      </c>
      <c r="D160" s="101">
        <v>7</v>
      </c>
      <c r="E160" s="102">
        <v>7</v>
      </c>
      <c r="F160" s="312" t="str">
        <f>'PLANILHA 011017'!D169</f>
        <v>UN</v>
      </c>
    </row>
    <row r="161" spans="1:6">
      <c r="A161" s="313" t="str">
        <f>'PLANILHA 011017'!A170</f>
        <v>10.35</v>
      </c>
      <c r="B161" s="92" t="str">
        <f>'PLANILHA 011017'!B170</f>
        <v>40.11.010</v>
      </c>
      <c r="C161" s="109" t="str">
        <f>'PLANILHA 011017'!C170</f>
        <v>Relé fotoelétrico 50/60 Hz, 110/220 V, 1200 VA, completo</v>
      </c>
      <c r="D161" s="101">
        <v>7</v>
      </c>
      <c r="E161" s="102">
        <v>7</v>
      </c>
      <c r="F161" s="312" t="str">
        <f>'PLANILHA 011017'!D170</f>
        <v>UN</v>
      </c>
    </row>
    <row r="162" spans="1:6" ht="25.5">
      <c r="A162" s="313" t="str">
        <f>'PLANILHA 011017'!A171</f>
        <v>10.36</v>
      </c>
      <c r="B162" s="92" t="str">
        <f>'PLANILHA 011017'!B171</f>
        <v>SINAPI-97599</v>
      </c>
      <c r="C162" s="109" t="str">
        <f>'PLANILHA 011017'!C171</f>
        <v>Luminária de emergência, com 30 lâmpadas LED de 2W, sem reator, fornecimento e instalação. AF_02/2020</v>
      </c>
      <c r="D162" s="101">
        <v>4</v>
      </c>
      <c r="E162" s="102">
        <v>4</v>
      </c>
      <c r="F162" s="312" t="str">
        <f>'PLANILHA 011017'!D171</f>
        <v>UN</v>
      </c>
    </row>
    <row r="163" spans="1:6">
      <c r="A163" s="313"/>
      <c r="B163" s="92"/>
      <c r="C163" s="92"/>
      <c r="D163" s="100"/>
      <c r="E163" s="96"/>
      <c r="F163" s="312"/>
    </row>
    <row r="164" spans="1:6">
      <c r="A164" s="313"/>
      <c r="B164" s="92"/>
      <c r="C164" s="92"/>
      <c r="D164" s="100"/>
      <c r="E164" s="96"/>
      <c r="F164" s="312"/>
    </row>
    <row r="165" spans="1:6">
      <c r="A165" s="311" t="str">
        <f>'PLANILHA 011017'!A174</f>
        <v>11.00</v>
      </c>
      <c r="B165" s="92"/>
      <c r="C165" s="111" t="str">
        <f>'PLANILHA 011017'!C174</f>
        <v>APARELHOS E ACESSÓRIOS</v>
      </c>
      <c r="D165" s="100"/>
      <c r="E165" s="96"/>
      <c r="F165" s="312"/>
    </row>
    <row r="166" spans="1:6" ht="25.5">
      <c r="A166" s="313" t="str">
        <f>'PLANILHA 011017'!A175</f>
        <v>11.01</v>
      </c>
      <c r="B166" s="92" t="str">
        <f>'PLANILHA 011017'!B175</f>
        <v>30.08.060</v>
      </c>
      <c r="C166" s="92" t="str">
        <f>'PLANILHA 011017'!C175</f>
        <v>Bacia sifonada de louça para pessoas com mobilidade reduzida - capacidade de 6 litros</v>
      </c>
      <c r="D166" s="101">
        <v>1</v>
      </c>
      <c r="E166" s="102">
        <v>1</v>
      </c>
      <c r="F166" s="312" t="str">
        <f>'PLANILHA 011017'!D175</f>
        <v>UN</v>
      </c>
    </row>
    <row r="167" spans="1:6" ht="25.5">
      <c r="A167" s="313" t="str">
        <f>'PLANILHA 011017'!A176</f>
        <v>11.02</v>
      </c>
      <c r="B167" s="92" t="str">
        <f>'PLANILHA 011017'!B176</f>
        <v>30.03.042</v>
      </c>
      <c r="C167" s="92" t="str">
        <f>'PLANILHA 011017'!C176</f>
        <v>Purificador de pressão elétrico em chapa eletrozincado pré-pintada e tampo em aço inoxidável, capacidade de refrigeração de 7,2 l/h</v>
      </c>
      <c r="D167" s="101">
        <v>1</v>
      </c>
      <c r="E167" s="102">
        <v>1</v>
      </c>
      <c r="F167" s="312" t="str">
        <f>'PLANILHA 011017'!D176</f>
        <v>UN</v>
      </c>
    </row>
    <row r="168" spans="1:6">
      <c r="A168" s="313" t="str">
        <f>'PLANILHA 011017'!A177</f>
        <v>11.03</v>
      </c>
      <c r="B168" s="92" t="str">
        <f>'PLANILHA 011017'!B177</f>
        <v>44.01.050</v>
      </c>
      <c r="C168" s="92" t="str">
        <f>'PLANILHA 011017'!C177</f>
        <v>Bacia sifonada de louça sem tampa - 6 litros</v>
      </c>
      <c r="D168" s="101" t="s">
        <v>638</v>
      </c>
      <c r="E168" s="102">
        <v>7</v>
      </c>
      <c r="F168" s="312" t="str">
        <f>'PLANILHA 011017'!D177</f>
        <v>UN</v>
      </c>
    </row>
    <row r="169" spans="1:6">
      <c r="A169" s="313" t="str">
        <f>'PLANILHA 011017'!A178</f>
        <v>11.04</v>
      </c>
      <c r="B169" s="92" t="str">
        <f>'PLANILHA 011017'!B178</f>
        <v>44.01.200</v>
      </c>
      <c r="C169" s="92" t="str">
        <f>'PLANILHA 011017'!C178</f>
        <v>Mictório de louça sifonado auto aspirante</v>
      </c>
      <c r="D169" s="101">
        <v>4</v>
      </c>
      <c r="E169" s="102">
        <v>4</v>
      </c>
      <c r="F169" s="312" t="str">
        <f>'PLANILHA 011017'!D178</f>
        <v>UN</v>
      </c>
    </row>
    <row r="170" spans="1:6">
      <c r="A170" s="313" t="str">
        <f>'PLANILHA 011017'!A179</f>
        <v>11.05</v>
      </c>
      <c r="B170" s="92" t="str">
        <f>'PLANILHA 011017'!B179</f>
        <v>44.01.850</v>
      </c>
      <c r="C170" s="92" t="str">
        <f>'PLANILHA 011017'!C179</f>
        <v>Cuba de louça de embutir redonda</v>
      </c>
      <c r="D170" s="101" t="s">
        <v>639</v>
      </c>
      <c r="E170" s="102">
        <v>6</v>
      </c>
      <c r="F170" s="312" t="str">
        <f>'PLANILHA 011017'!D179</f>
        <v>UN</v>
      </c>
    </row>
    <row r="171" spans="1:6" ht="25.5">
      <c r="A171" s="313" t="str">
        <f>'PLANILHA 011017'!A180</f>
        <v>11.06</v>
      </c>
      <c r="B171" s="92" t="str">
        <f>'PLANILHA 011017'!B180</f>
        <v>44.02.062</v>
      </c>
      <c r="C171" s="92" t="str">
        <f>'PLANILHA 011017'!C180</f>
        <v>Tampo/bancada em granito, com frontão, espessura de 2 cm, acabamento polido</v>
      </c>
      <c r="D171" s="101" t="s">
        <v>895</v>
      </c>
      <c r="E171" s="102">
        <f>ROUND(0.9+4.2*0.1+0.96+4.4*0.1+1.57,2)</f>
        <v>4.29</v>
      </c>
      <c r="F171" s="312" t="str">
        <f>'PLANILHA 011017'!D180</f>
        <v>M2</v>
      </c>
    </row>
    <row r="172" spans="1:6">
      <c r="A172" s="313" t="str">
        <f>'PLANILHA 011017'!A181</f>
        <v>11.07</v>
      </c>
      <c r="B172" s="92" t="str">
        <f>'PLANILHA 011017'!B181</f>
        <v>44.03.050</v>
      </c>
      <c r="C172" s="92" t="str">
        <f>'PLANILHA 011017'!C181</f>
        <v>Dispenser papel higiênico em ABS para rolão 300 / 600 m, com visor</v>
      </c>
      <c r="D172" s="101" t="s">
        <v>640</v>
      </c>
      <c r="E172" s="102">
        <v>8</v>
      </c>
      <c r="F172" s="312" t="str">
        <f>'PLANILHA 011017'!D181</f>
        <v>UN</v>
      </c>
    </row>
    <row r="173" spans="1:6">
      <c r="A173" s="313" t="str">
        <f>'PLANILHA 011017'!A182</f>
        <v>11.08</v>
      </c>
      <c r="B173" s="92" t="str">
        <f>'PLANILHA 011017'!B182</f>
        <v>44.03.130</v>
      </c>
      <c r="C173" s="92" t="str">
        <f>'PLANILHA 011017'!C182</f>
        <v>Saboneteira tipo dispenser, para refil de 800 ml</v>
      </c>
      <c r="D173" s="101" t="s">
        <v>641</v>
      </c>
      <c r="E173" s="102">
        <v>4</v>
      </c>
      <c r="F173" s="312" t="str">
        <f>'PLANILHA 011017'!D182</f>
        <v>UN</v>
      </c>
    </row>
    <row r="174" spans="1:6">
      <c r="A174" s="313" t="str">
        <f>'PLANILHA 011017'!A183</f>
        <v>11.09</v>
      </c>
      <c r="B174" s="92" t="str">
        <f>'PLANILHA 011017'!B183</f>
        <v>44.03.180</v>
      </c>
      <c r="C174" s="92" t="str">
        <f>'PLANILHA 011017'!C183</f>
        <v>Dispenser toalheiro em ABS, para folhas</v>
      </c>
      <c r="D174" s="101" t="s">
        <v>642</v>
      </c>
      <c r="E174" s="102">
        <v>2</v>
      </c>
      <c r="F174" s="312" t="str">
        <f>'PLANILHA 011017'!D183</f>
        <v>UN</v>
      </c>
    </row>
    <row r="175" spans="1:6" ht="25.5">
      <c r="A175" s="313" t="str">
        <f>'PLANILHA 011017'!A184</f>
        <v>11.10</v>
      </c>
      <c r="B175" s="92" t="str">
        <f>'PLANILHA 011017'!B184</f>
        <v>44.03.480</v>
      </c>
      <c r="C175" s="92" t="str">
        <f>'PLANILHA 011017'!C184</f>
        <v>Torneira de mesa para lavatório compacta, acionamento hidromecânico, em latão cromado, DN= 1/2´</v>
      </c>
      <c r="D175" s="97" t="s">
        <v>643</v>
      </c>
      <c r="E175" s="102">
        <v>6</v>
      </c>
      <c r="F175" s="312" t="str">
        <f>'PLANILHA 011017'!D184</f>
        <v>UN</v>
      </c>
    </row>
    <row r="176" spans="1:6">
      <c r="A176" s="313" t="str">
        <f>'PLANILHA 011017'!A185</f>
        <v>11.11</v>
      </c>
      <c r="B176" s="92" t="str">
        <f>'PLANILHA 011017'!B185</f>
        <v>44.03.590</v>
      </c>
      <c r="C176" s="92" t="str">
        <f>'PLANILHA 011017'!C185</f>
        <v>Torneira de mesa para pia com bica móvel e arejador em latão fundido cromado</v>
      </c>
      <c r="D176" s="101" t="s">
        <v>644</v>
      </c>
      <c r="E176" s="102">
        <v>1</v>
      </c>
      <c r="F176" s="312" t="str">
        <f>'PLANILHA 011017'!D185</f>
        <v>UN</v>
      </c>
    </row>
    <row r="177" spans="1:6">
      <c r="A177" s="313" t="str">
        <f>'PLANILHA 011017'!A186</f>
        <v>11.12</v>
      </c>
      <c r="B177" s="92" t="str">
        <f>'PLANILHA 011017'!B186</f>
        <v>44.20.280</v>
      </c>
      <c r="C177" s="92" t="str">
        <f>'PLANILHA 011017'!C186</f>
        <v>Tampa de plástico para bacia sanitária</v>
      </c>
      <c r="D177" s="101" t="s">
        <v>645</v>
      </c>
      <c r="E177" s="102">
        <v>8</v>
      </c>
      <c r="F177" s="312" t="str">
        <f>'PLANILHA 011017'!D186</f>
        <v>UN</v>
      </c>
    </row>
    <row r="178" spans="1:6">
      <c r="A178" s="313"/>
      <c r="B178" s="92"/>
      <c r="C178" s="92"/>
      <c r="D178" s="100"/>
      <c r="E178" s="96"/>
      <c r="F178" s="312"/>
    </row>
    <row r="179" spans="1:6">
      <c r="A179" s="313"/>
      <c r="B179" s="92"/>
      <c r="C179" s="92"/>
      <c r="D179" s="100"/>
      <c r="E179" s="96"/>
      <c r="F179" s="312"/>
    </row>
    <row r="180" spans="1:6">
      <c r="A180" s="311" t="str">
        <f>'PLANILHA 011017'!A189</f>
        <v>12.00</v>
      </c>
      <c r="B180" s="89"/>
      <c r="C180" s="111" t="str">
        <f>'PLANILHA 011017'!C189</f>
        <v>TUBULACAO E CONDUTORES PARA LIQUIDOS E GASES</v>
      </c>
      <c r="D180" s="100"/>
      <c r="E180" s="96"/>
      <c r="F180" s="312"/>
    </row>
    <row r="181" spans="1:6">
      <c r="A181" s="313" t="str">
        <f>'PLANILHA 011017'!A190</f>
        <v>12.01</v>
      </c>
      <c r="B181" s="92" t="str">
        <f>'PLANILHA 011017'!B190</f>
        <v>46.01.010</v>
      </c>
      <c r="C181" s="92" t="str">
        <f>'PLANILHA 011017'!C190</f>
        <v>Tubo de PVC rígido soldável marrom, DN= 20 mm, (1/2´), inclusive conexões</v>
      </c>
      <c r="D181" s="102" t="s">
        <v>736</v>
      </c>
      <c r="E181" s="102">
        <v>29.16</v>
      </c>
      <c r="F181" s="312" t="str">
        <f>'PLANILHA 011017'!D190</f>
        <v>M</v>
      </c>
    </row>
    <row r="182" spans="1:6">
      <c r="A182" s="313" t="str">
        <f>'PLANILHA 011017'!A191</f>
        <v>12.02</v>
      </c>
      <c r="B182" s="92" t="str">
        <f>'PLANILHA 011017'!B191</f>
        <v>46.01.020</v>
      </c>
      <c r="C182" s="92" t="str">
        <f>'PLANILHA 011017'!C191</f>
        <v>Tubo de PVC rígido soldável marrom, DN= 25 mm, (3/4´), inclusive conexões</v>
      </c>
      <c r="D182" s="102" t="s">
        <v>735</v>
      </c>
      <c r="E182" s="102">
        <v>20.43</v>
      </c>
      <c r="F182" s="312" t="str">
        <f>'PLANILHA 011017'!D191</f>
        <v>M</v>
      </c>
    </row>
    <row r="183" spans="1:6">
      <c r="A183" s="313" t="str">
        <f>'PLANILHA 011017'!A192</f>
        <v>12.03</v>
      </c>
      <c r="B183" s="92" t="str">
        <f>'PLANILHA 011017'!B192</f>
        <v>46.01.030</v>
      </c>
      <c r="C183" s="92" t="str">
        <f>'PLANILHA 011017'!C192</f>
        <v>Tubo de PVC rígido soldável marrom, DN= 32 mm, (1´), inclusive conexões</v>
      </c>
      <c r="D183" s="102" t="s">
        <v>734</v>
      </c>
      <c r="E183" s="102">
        <v>14.8</v>
      </c>
      <c r="F183" s="312" t="str">
        <f>'PLANILHA 011017'!D192</f>
        <v>M</v>
      </c>
    </row>
    <row r="184" spans="1:6">
      <c r="A184" s="313" t="str">
        <f>'PLANILHA 011017'!A193</f>
        <v>12.04</v>
      </c>
      <c r="B184" s="92" t="str">
        <f>'PLANILHA 011017'!B193</f>
        <v>46.01.050</v>
      </c>
      <c r="C184" s="92" t="str">
        <f>'PLANILHA 011017'!C193</f>
        <v>Tubo de PVC rígido soldável marrom, DN= 50 mm, (1 1/2´), inclusive conexões</v>
      </c>
      <c r="D184" s="102" t="s">
        <v>733</v>
      </c>
      <c r="E184" s="102">
        <v>24.01</v>
      </c>
      <c r="F184" s="312" t="str">
        <f>'PLANILHA 011017'!D193</f>
        <v>M</v>
      </c>
    </row>
    <row r="185" spans="1:6">
      <c r="A185" s="313" t="str">
        <f>'PLANILHA 011017'!A194</f>
        <v>12.05</v>
      </c>
      <c r="B185" s="92" t="str">
        <f>'PLANILHA 011017'!B194</f>
        <v>46.01.070</v>
      </c>
      <c r="C185" s="92" t="str">
        <f>'PLANILHA 011017'!C194</f>
        <v>Tubo de PVC rígido soldável marrom, DN= 75 mm, (2 1/2´), inclusive conexões</v>
      </c>
      <c r="D185" s="102" t="s">
        <v>732</v>
      </c>
      <c r="E185" s="102">
        <v>8.91</v>
      </c>
      <c r="F185" s="312" t="str">
        <f>'PLANILHA 011017'!D194</f>
        <v>M</v>
      </c>
    </row>
    <row r="186" spans="1:6" ht="25.5">
      <c r="A186" s="313" t="str">
        <f>'PLANILHA 011017'!A195</f>
        <v>12.06</v>
      </c>
      <c r="B186" s="92" t="str">
        <f>'PLANILHA 011017'!B195</f>
        <v>46.02.010</v>
      </c>
      <c r="C186" s="92" t="str">
        <f>'PLANILHA 011017'!C195</f>
        <v>Tubo de PVC rígido branco, pontas lisas, soldável, linha esgoto série normal, DN= 40 mm, inclusive conexões</v>
      </c>
      <c r="D186" s="102" t="s">
        <v>739</v>
      </c>
      <c r="E186" s="102">
        <f>12.84-4.45</f>
        <v>8.39</v>
      </c>
      <c r="F186" s="312" t="str">
        <f>'PLANILHA 011017'!D195</f>
        <v>M</v>
      </c>
    </row>
    <row r="187" spans="1:6" ht="25.5">
      <c r="A187" s="313" t="str">
        <f>'PLANILHA 011017'!A196</f>
        <v>12.07</v>
      </c>
      <c r="B187" s="92" t="str">
        <f>'PLANILHA 011017'!B196</f>
        <v>46.02.050</v>
      </c>
      <c r="C187" s="92" t="str">
        <f>'PLANILHA 011017'!C196</f>
        <v>Tubo de PVC rígido branco PxB com virola e anel de borracha, linha esgoto série normal, DN= 50 mm, inclusive conexões</v>
      </c>
      <c r="D187" s="102" t="s">
        <v>731</v>
      </c>
      <c r="E187" s="102">
        <f>16.17-0.6</f>
        <v>15.570000000000002</v>
      </c>
      <c r="F187" s="312" t="str">
        <f>'PLANILHA 011017'!D196</f>
        <v>M</v>
      </c>
    </row>
    <row r="188" spans="1:6" ht="25.5">
      <c r="A188" s="313" t="str">
        <f>'PLANILHA 011017'!A197</f>
        <v>12.08</v>
      </c>
      <c r="B188" s="92" t="str">
        <f>'PLANILHA 011017'!B197</f>
        <v>46.02.060</v>
      </c>
      <c r="C188" s="92" t="str">
        <f>'PLANILHA 011017'!C197</f>
        <v>Tubo de PVC rígido branco PxB com virola e anel de borracha, linha esgoto série normal, DN= 75 mm, inclusive conexões</v>
      </c>
      <c r="D188" s="102" t="s">
        <v>730</v>
      </c>
      <c r="E188" s="102">
        <v>12.91</v>
      </c>
      <c r="F188" s="312" t="str">
        <f>'PLANILHA 011017'!D197</f>
        <v>M</v>
      </c>
    </row>
    <row r="189" spans="1:6" ht="25.5">
      <c r="A189" s="313" t="str">
        <f>'PLANILHA 011017'!A198</f>
        <v>12.09</v>
      </c>
      <c r="B189" s="92" t="str">
        <f>'PLANILHA 011017'!B198</f>
        <v>46.02.070</v>
      </c>
      <c r="C189" s="92" t="str">
        <f>'PLANILHA 011017'!C198</f>
        <v>Tubo de PVC rígido branco PxB com virola e anel de borracha, linha esgoto série normal, DN= 100 mm, inclusive conexões</v>
      </c>
      <c r="D189" s="102" t="s">
        <v>738</v>
      </c>
      <c r="E189" s="102">
        <f>18.33-0.9</f>
        <v>17.43</v>
      </c>
      <c r="F189" s="312" t="str">
        <f>'PLANILHA 011017'!D198</f>
        <v>M</v>
      </c>
    </row>
    <row r="190" spans="1:6" ht="25.5">
      <c r="A190" s="313" t="str">
        <f>'PLANILHA 011017'!A199</f>
        <v>12.10</v>
      </c>
      <c r="B190" s="92" t="str">
        <f>'PLANILHA 011017'!B199</f>
        <v>46.03.060</v>
      </c>
      <c r="C190" s="92" t="str">
        <f>'PLANILHA 011017'!C199</f>
        <v>Tubo de PVC rígido PxB com virola e anel de borracha, linha esgoto série reforçada ´R´. DN= 150 mm, inclusive conexões</v>
      </c>
      <c r="D190" s="102" t="s">
        <v>729</v>
      </c>
      <c r="E190" s="102">
        <v>49.89</v>
      </c>
      <c r="F190" s="312" t="str">
        <f>'PLANILHA 011017'!D199</f>
        <v>M</v>
      </c>
    </row>
    <row r="191" spans="1:6">
      <c r="A191" s="313" t="str">
        <f>'PLANILHA 011017'!A200</f>
        <v>12.11</v>
      </c>
      <c r="B191" s="92" t="str">
        <f>'PLANILHA 011017'!B200</f>
        <v>46.10.020</v>
      </c>
      <c r="C191" s="92" t="str">
        <f>'PLANILHA 011017'!C200</f>
        <v>Tubo de cobre classe A, DN= 22mm (3/4´), inclusive conexões</v>
      </c>
      <c r="D191" s="102" t="s">
        <v>737</v>
      </c>
      <c r="E191" s="114">
        <v>11.5</v>
      </c>
      <c r="F191" s="312" t="str">
        <f>'PLANILHA 011017'!D200</f>
        <v>M</v>
      </c>
    </row>
    <row r="192" spans="1:6">
      <c r="A192" s="313"/>
      <c r="B192" s="92"/>
      <c r="C192" s="92"/>
      <c r="D192" s="96"/>
      <c r="E192" s="96"/>
      <c r="F192" s="312"/>
    </row>
    <row r="193" spans="1:6">
      <c r="A193" s="313"/>
      <c r="B193" s="92"/>
      <c r="C193" s="92"/>
      <c r="D193" s="96"/>
      <c r="E193" s="96"/>
      <c r="F193" s="312"/>
    </row>
    <row r="194" spans="1:6">
      <c r="A194" s="311" t="str">
        <f>'PLANILHA 011017'!A203</f>
        <v>13.00</v>
      </c>
      <c r="B194" s="92"/>
      <c r="C194" s="111" t="str">
        <f>'PLANILHA 011017'!C203</f>
        <v>VALVULAS E APARELHOS DE MEDICAO E CONTROLE PARA LIQUIDOS</v>
      </c>
      <c r="D194" s="96"/>
      <c r="E194" s="96"/>
      <c r="F194" s="312"/>
    </row>
    <row r="195" spans="1:6">
      <c r="A195" s="313" t="str">
        <f>'PLANILHA 011017'!A204</f>
        <v>13.01</v>
      </c>
      <c r="B195" s="92" t="str">
        <f>'PLANILHA 011017'!B204</f>
        <v>47.01.010</v>
      </c>
      <c r="C195" s="92" t="str">
        <f>'PLANILHA 011017'!C204</f>
        <v>Registro de gaveta em latão fundido sem acabamento, DN= 1/2´</v>
      </c>
      <c r="D195" s="102" t="s">
        <v>588</v>
      </c>
      <c r="E195" s="102">
        <v>2</v>
      </c>
      <c r="F195" s="312" t="str">
        <f>'PLANILHA 011017'!D204</f>
        <v>UN</v>
      </c>
    </row>
    <row r="196" spans="1:6">
      <c r="A196" s="313" t="str">
        <f>'PLANILHA 011017'!A205</f>
        <v>13.02</v>
      </c>
      <c r="B196" s="92" t="str">
        <f>'PLANILHA 011017'!B205</f>
        <v>47.01.030</v>
      </c>
      <c r="C196" s="92" t="str">
        <f>'PLANILHA 011017'!C205</f>
        <v>Registro de gaveta em latão fundido sem acabamento, DN= 1´</v>
      </c>
      <c r="D196" s="102" t="s">
        <v>589</v>
      </c>
      <c r="E196" s="102">
        <v>1</v>
      </c>
      <c r="F196" s="312" t="str">
        <f>'PLANILHA 011017'!D205</f>
        <v>UN</v>
      </c>
    </row>
    <row r="197" spans="1:6">
      <c r="A197" s="313" t="str">
        <f>'PLANILHA 011017'!A206</f>
        <v>13.03</v>
      </c>
      <c r="B197" s="92" t="str">
        <f>'PLANILHA 011017'!B206</f>
        <v>47.01.050</v>
      </c>
      <c r="C197" s="92" t="str">
        <f>'PLANILHA 011017'!C206</f>
        <v>Registro de gaveta em latão fundido sem acabamento, DN= 1 1/2´</v>
      </c>
      <c r="D197" s="102" t="s">
        <v>589</v>
      </c>
      <c r="E197" s="102">
        <v>1</v>
      </c>
      <c r="F197" s="312" t="str">
        <f>'PLANILHA 011017'!D206</f>
        <v>UN</v>
      </c>
    </row>
    <row r="198" spans="1:6">
      <c r="A198" s="313" t="str">
        <f>'PLANILHA 011017'!A207</f>
        <v>13.04</v>
      </c>
      <c r="B198" s="92" t="str">
        <f>'PLANILHA 011017'!B207</f>
        <v>47.01.070</v>
      </c>
      <c r="C198" s="92" t="str">
        <f>'PLANILHA 011017'!C207</f>
        <v>Registro de gaveta em latão fundido sem acabamento, DN= 2 1/2´</v>
      </c>
      <c r="D198" s="102" t="s">
        <v>589</v>
      </c>
      <c r="E198" s="102">
        <v>1</v>
      </c>
      <c r="F198" s="312" t="str">
        <f>'PLANILHA 011017'!D207</f>
        <v>UN</v>
      </c>
    </row>
    <row r="199" spans="1:6" ht="25.5">
      <c r="A199" s="313" t="str">
        <f>'PLANILHA 011017'!A208</f>
        <v>13.05</v>
      </c>
      <c r="B199" s="92" t="str">
        <f>'PLANILHA 011017'!B208</f>
        <v>47.02.010</v>
      </c>
      <c r="C199" s="92" t="str">
        <f>'PLANILHA 011017'!C208</f>
        <v>Registro de gaveta em latão fundido cromado com canopla, DN= 1/2´ - linha especial</v>
      </c>
      <c r="D199" s="102" t="s">
        <v>589</v>
      </c>
      <c r="E199" s="102">
        <v>1</v>
      </c>
      <c r="F199" s="312" t="str">
        <f>'PLANILHA 011017'!D208</f>
        <v>UN</v>
      </c>
    </row>
    <row r="200" spans="1:6" ht="25.5">
      <c r="A200" s="313" t="str">
        <f>'PLANILHA 011017'!A209</f>
        <v>13.06</v>
      </c>
      <c r="B200" s="92" t="str">
        <f>'PLANILHA 011017'!B209</f>
        <v>47.02.020</v>
      </c>
      <c r="C200" s="92" t="str">
        <f>'PLANILHA 011017'!C209</f>
        <v>Registro de gaveta em latão fundido cromado com canopla, DN= 3/4´ - linha especial</v>
      </c>
      <c r="D200" s="102" t="s">
        <v>590</v>
      </c>
      <c r="E200" s="102">
        <v>3</v>
      </c>
      <c r="F200" s="312" t="str">
        <f>'PLANILHA 011017'!D209</f>
        <v>UN</v>
      </c>
    </row>
    <row r="201" spans="1:6" ht="25.5">
      <c r="A201" s="313" t="str">
        <f>'PLANILHA 011017'!A210</f>
        <v>13.07</v>
      </c>
      <c r="B201" s="92" t="str">
        <f>'PLANILHA 011017'!B210</f>
        <v>47.02.030</v>
      </c>
      <c r="C201" s="92" t="str">
        <f>'PLANILHA 011017'!C210</f>
        <v>Registro de gaveta em latão fundido cromado com canopla, DN= 1´ - linha especial</v>
      </c>
      <c r="D201" s="102" t="s">
        <v>589</v>
      </c>
      <c r="E201" s="102">
        <v>1</v>
      </c>
      <c r="F201" s="312" t="str">
        <f>'PLANILHA 011017'!D210</f>
        <v>UN</v>
      </c>
    </row>
    <row r="202" spans="1:6" ht="25.5">
      <c r="A202" s="313" t="str">
        <f>'PLANILHA 011017'!A211</f>
        <v>13.08</v>
      </c>
      <c r="B202" s="92" t="str">
        <f>'PLANILHA 011017'!B211</f>
        <v>47.02.050</v>
      </c>
      <c r="C202" s="92" t="str">
        <f>'PLANILHA 011017'!C211</f>
        <v>Registro de gaveta em latão fundido cromado com canopla, DN= 1 1/2´ - linha especial</v>
      </c>
      <c r="D202" s="102" t="s">
        <v>591</v>
      </c>
      <c r="E202" s="102">
        <v>8</v>
      </c>
      <c r="F202" s="312" t="str">
        <f>'PLANILHA 011017'!D211</f>
        <v>UN</v>
      </c>
    </row>
    <row r="203" spans="1:6">
      <c r="A203" s="313" t="str">
        <f>'PLANILHA 011017'!A212</f>
        <v>13.09</v>
      </c>
      <c r="B203" s="92" t="str">
        <f>'PLANILHA 011017'!B212</f>
        <v>47.04.040</v>
      </c>
      <c r="C203" s="92" t="str">
        <f>'PLANILHA 011017'!C212</f>
        <v>Válvula de descarga com registro próprio, DN= 1 1/2´</v>
      </c>
      <c r="D203" s="102" t="s">
        <v>592</v>
      </c>
      <c r="E203" s="102">
        <v>8</v>
      </c>
      <c r="F203" s="312" t="str">
        <f>'PLANILHA 011017'!D212</f>
        <v>UN</v>
      </c>
    </row>
    <row r="204" spans="1:6">
      <c r="A204" s="313" t="str">
        <f>'PLANILHA 011017'!A213</f>
        <v>13.10</v>
      </c>
      <c r="B204" s="92" t="str">
        <f>'PLANILHA 011017'!B213</f>
        <v>47.04.100</v>
      </c>
      <c r="C204" s="92" t="str">
        <f>'PLANILHA 011017'!C213</f>
        <v>Válvula de mictório padrão, vazão automática, DN= 3/4´</v>
      </c>
      <c r="D204" s="102" t="s">
        <v>593</v>
      </c>
      <c r="E204" s="102">
        <v>4</v>
      </c>
      <c r="F204" s="312" t="str">
        <f>'PLANILHA 011017'!D213</f>
        <v>UN</v>
      </c>
    </row>
    <row r="205" spans="1:6">
      <c r="A205" s="313"/>
      <c r="B205" s="92"/>
      <c r="C205" s="92"/>
      <c r="D205" s="96"/>
      <c r="E205" s="96"/>
      <c r="F205" s="312"/>
    </row>
    <row r="206" spans="1:6">
      <c r="A206" s="313"/>
      <c r="B206" s="92"/>
      <c r="C206" s="92"/>
      <c r="D206" s="96"/>
      <c r="E206" s="96"/>
      <c r="F206" s="312"/>
    </row>
    <row r="207" spans="1:6">
      <c r="A207" s="311" t="str">
        <f>'PLANILHA 011017'!A216</f>
        <v>14.00</v>
      </c>
      <c r="B207" s="89"/>
      <c r="C207" s="111" t="str">
        <f>'PLANILHA 011017'!C216</f>
        <v>CAIXA, RALO, GRELHA E ACESSORIO HIDRAULICO</v>
      </c>
      <c r="D207" s="96"/>
      <c r="E207" s="96"/>
      <c r="F207" s="312"/>
    </row>
    <row r="208" spans="1:6">
      <c r="A208" s="313" t="str">
        <f>'PLANILHA 011017'!A217</f>
        <v>14.01</v>
      </c>
      <c r="B208" s="92" t="str">
        <f>'PLANILHA 011017'!B217</f>
        <v>49.01.030</v>
      </c>
      <c r="C208" s="92" t="str">
        <f>'PLANILHA 011017'!C217</f>
        <v>Caixa sifonada de PVC rígido de 150 x 150 x 50 mm, com grelha</v>
      </c>
      <c r="D208" s="102" t="s">
        <v>588</v>
      </c>
      <c r="E208" s="102">
        <v>2</v>
      </c>
      <c r="F208" s="312" t="str">
        <f>'PLANILHA 011017'!D217</f>
        <v>UN</v>
      </c>
    </row>
    <row r="209" spans="1:6">
      <c r="A209" s="313" t="str">
        <f>'PLANILHA 011017'!A218</f>
        <v>14.02</v>
      </c>
      <c r="B209" s="92" t="str">
        <f>'PLANILHA 011017'!B218</f>
        <v>49.01.040</v>
      </c>
      <c r="C209" s="92" t="str">
        <f>'PLANILHA 011017'!C218</f>
        <v>Caixa sifonada de PVC rígido de 150 x 185 x 75 mm, com grelha</v>
      </c>
      <c r="D209" s="102" t="s">
        <v>588</v>
      </c>
      <c r="E209" s="102">
        <v>2</v>
      </c>
      <c r="F209" s="312" t="str">
        <f>'PLANILHA 011017'!D218</f>
        <v>UN</v>
      </c>
    </row>
    <row r="210" spans="1:6">
      <c r="A210" s="313" t="str">
        <f>'PLANILHA 011017'!A219</f>
        <v>14.03</v>
      </c>
      <c r="B210" s="92" t="str">
        <f>'PLANILHA 011017'!B219</f>
        <v>49.03.020</v>
      </c>
      <c r="C210" s="92" t="str">
        <f>'PLANILHA 011017'!C219</f>
        <v>Caixa de gordura em alvenaria, 600 x 600 x 600 mm</v>
      </c>
      <c r="D210" s="102" t="s">
        <v>589</v>
      </c>
      <c r="E210" s="102">
        <v>1</v>
      </c>
      <c r="F210" s="312" t="str">
        <f>'PLANILHA 011017'!D219</f>
        <v>UN</v>
      </c>
    </row>
    <row r="211" spans="1:6">
      <c r="A211" s="313" t="str">
        <f>'PLANILHA 011017'!A220</f>
        <v>14.04</v>
      </c>
      <c r="B211" s="92" t="str">
        <f>'PLANILHA 011017'!B220</f>
        <v>49.01.016</v>
      </c>
      <c r="C211" s="92" t="str">
        <f>'PLANILHA 011017'!C220</f>
        <v>Caixa sifonada de PVC rígido de 100 x 100 x 50 mm, com grelha</v>
      </c>
      <c r="D211" s="102" t="s">
        <v>589</v>
      </c>
      <c r="E211" s="102">
        <v>1</v>
      </c>
      <c r="F211" s="312" t="str">
        <f>'PLANILHA 011017'!D220</f>
        <v>UN</v>
      </c>
    </row>
    <row r="212" spans="1:6" ht="25.5">
      <c r="A212" s="313" t="str">
        <f>'PLANILHA 011017'!A221</f>
        <v>14.05</v>
      </c>
      <c r="B212" s="92" t="str">
        <f>'PLANILHA 011017'!B221</f>
        <v>SINAPI-97902</v>
      </c>
      <c r="C212" s="92" t="str">
        <f>'PLANILHA 011017'!C221</f>
        <v>Caixa enterrada hidráulica retangular em alvenaria com tijolos cerâmicos maciços, dimensões internas: 0,6x0,6x0,6 m para rede de esgoto. AF_12/2020</v>
      </c>
      <c r="D212" s="108" t="s">
        <v>594</v>
      </c>
      <c r="E212" s="102">
        <v>6</v>
      </c>
      <c r="F212" s="312" t="str">
        <f>'PLANILHA 011017'!D221</f>
        <v>UN</v>
      </c>
    </row>
    <row r="213" spans="1:6">
      <c r="A213" s="313" t="str">
        <f>'PLANILHA 011017'!A222</f>
        <v>14.06</v>
      </c>
      <c r="B213" s="92" t="str">
        <f>'PLANILHA 011017'!B222</f>
        <v>49.06.190</v>
      </c>
      <c r="C213" s="92" t="str">
        <f>'PLANILHA 011017'!C222</f>
        <v>Grelha pré-moldada em concreto, com furos redondos, 79,5 x 24,5 x 8 cm</v>
      </c>
      <c r="D213" s="108" t="s">
        <v>878</v>
      </c>
      <c r="E213" s="102">
        <v>32</v>
      </c>
      <c r="F213" s="312" t="str">
        <f>'PLANILHA 011017'!D222</f>
        <v>UN</v>
      </c>
    </row>
    <row r="214" spans="1:6">
      <c r="A214" s="313"/>
      <c r="B214" s="92"/>
      <c r="C214" s="92"/>
      <c r="E214" s="102"/>
      <c r="F214" s="312"/>
    </row>
    <row r="215" spans="1:6">
      <c r="A215" s="313"/>
      <c r="B215" s="92"/>
      <c r="C215" s="92"/>
      <c r="D215" s="96"/>
      <c r="E215" s="96"/>
      <c r="F215" s="312"/>
    </row>
    <row r="216" spans="1:6">
      <c r="A216" s="311" t="str">
        <f>'PLANILHA 011017'!A225</f>
        <v>15.00</v>
      </c>
      <c r="B216" s="89"/>
      <c r="C216" s="111" t="str">
        <f>'PLANILHA 011017'!C225</f>
        <v>DETECCAO, COMBATE E PREVENCAO A INCÊNDIO</v>
      </c>
      <c r="D216" s="96"/>
      <c r="E216" s="96"/>
      <c r="F216" s="312"/>
    </row>
    <row r="217" spans="1:6">
      <c r="A217" s="313" t="str">
        <f>'PLANILHA 011017'!A226</f>
        <v>15.01</v>
      </c>
      <c r="B217" s="92" t="str">
        <f>'PLANILHA 011017'!B226</f>
        <v>50.10.100</v>
      </c>
      <c r="C217" s="92" t="str">
        <f>'PLANILHA 011017'!C226</f>
        <v>Extintor manual de água pressurizada - capacidade de 10 litros</v>
      </c>
      <c r="D217" s="102">
        <v>1</v>
      </c>
      <c r="E217" s="102">
        <v>1</v>
      </c>
      <c r="F217" s="312" t="str">
        <f>'PLANILHA 011017'!D226</f>
        <v>UN</v>
      </c>
    </row>
    <row r="218" spans="1:6">
      <c r="A218" s="313" t="str">
        <f>'PLANILHA 011017'!A227</f>
        <v>15.02</v>
      </c>
      <c r="B218" s="92" t="str">
        <f>'PLANILHA 011017'!B227</f>
        <v>50.10.110</v>
      </c>
      <c r="C218" s="92" t="str">
        <f>'PLANILHA 011017'!C227</f>
        <v>Extintor manual de pó químico seco ABC - capacidade de 4 kg</v>
      </c>
      <c r="D218" s="102">
        <v>2</v>
      </c>
      <c r="E218" s="102">
        <v>2</v>
      </c>
      <c r="F218" s="312" t="str">
        <f>'PLANILHA 011017'!D227</f>
        <v>UN</v>
      </c>
    </row>
    <row r="219" spans="1:6" ht="25.5">
      <c r="A219" s="313" t="str">
        <f>'PLANILHA 011017'!A228</f>
        <v>15.03</v>
      </c>
      <c r="B219" s="92" t="str">
        <f>'PLANILHA 011017'!B228</f>
        <v>97.02.194</v>
      </c>
      <c r="C219" s="92" t="str">
        <f>'PLANILHA 011017'!C228</f>
        <v>Placa de sinalização em PVC fotoluminescente (150x150mm), com indicação de equipamentos de combate à incêndio e alarme</v>
      </c>
      <c r="D219" s="102" t="s">
        <v>688</v>
      </c>
      <c r="E219" s="102">
        <v>3</v>
      </c>
      <c r="F219" s="312" t="str">
        <f>'PLANILHA 011017'!D228</f>
        <v>UN</v>
      </c>
    </row>
    <row r="220" spans="1:6" ht="25.5">
      <c r="A220" s="313" t="str">
        <f>'PLANILHA 011017'!A229</f>
        <v>15.04</v>
      </c>
      <c r="B220" s="92" t="str">
        <f>'PLANILHA 011017'!B229</f>
        <v>97.02.195</v>
      </c>
      <c r="C220" s="92" t="str">
        <f>'PLANILHA 011017'!C229</f>
        <v>Placa de sinalização em PVC fotoluminescente (240x120mm), com indicação de rota de evacuação e saída de emergência</v>
      </c>
      <c r="D220" s="101" t="s">
        <v>580</v>
      </c>
      <c r="E220" s="102">
        <v>6</v>
      </c>
      <c r="F220" s="312" t="str">
        <f>'PLANILHA 011017'!D229</f>
        <v>UN</v>
      </c>
    </row>
    <row r="221" spans="1:6">
      <c r="A221" s="313" t="str">
        <f>'PLANILHA 011017'!A230</f>
        <v>15.05</v>
      </c>
      <c r="B221" s="92" t="str">
        <f>'PLANILHA 011017'!B230</f>
        <v>97.02.210</v>
      </c>
      <c r="C221" s="92" t="str">
        <f>'PLANILHA 011017'!C230</f>
        <v>Placa de sinalização em PVC para ambientes</v>
      </c>
      <c r="D221" s="101" t="s">
        <v>646</v>
      </c>
      <c r="E221" s="102">
        <v>5</v>
      </c>
      <c r="F221" s="312" t="str">
        <f>'PLANILHA 011017'!D230</f>
        <v>UN</v>
      </c>
    </row>
    <row r="222" spans="1:6">
      <c r="A222" s="313"/>
      <c r="B222" s="92"/>
      <c r="C222" s="92"/>
      <c r="D222" s="96"/>
      <c r="E222" s="96"/>
      <c r="F222" s="312"/>
    </row>
    <row r="223" spans="1:6">
      <c r="A223" s="313"/>
      <c r="B223" s="92"/>
      <c r="C223" s="92"/>
      <c r="D223" s="96"/>
      <c r="E223" s="96"/>
      <c r="F223" s="312"/>
    </row>
    <row r="224" spans="1:6">
      <c r="A224" s="311" t="str">
        <f>'PLANILHA 011017'!A233</f>
        <v>16.00</v>
      </c>
      <c r="B224" s="89"/>
      <c r="C224" s="111" t="str">
        <f>'PLANILHA 011017'!C233</f>
        <v>SERVIÇOS COMPLEMENTARES</v>
      </c>
      <c r="D224" s="96"/>
      <c r="E224" s="96"/>
      <c r="F224" s="312"/>
    </row>
    <row r="225" spans="1:6">
      <c r="A225" s="313" t="str">
        <f>'PLANILHA 011017'!A234</f>
        <v>16.01</v>
      </c>
      <c r="B225" s="92" t="str">
        <f>'PLANILHA 011017'!B234</f>
        <v>02.05.060</v>
      </c>
      <c r="C225" s="92" t="str">
        <f>'PLANILHA 011017'!C234</f>
        <v>Montagem e desmontagem de andaime torre metálica com altura até 10 m</v>
      </c>
      <c r="D225" s="94" t="s">
        <v>727</v>
      </c>
      <c r="E225" s="91">
        <f>2*5+2*3</f>
        <v>16</v>
      </c>
      <c r="F225" s="312" t="str">
        <f>'PLANILHA 011017'!D234</f>
        <v>M</v>
      </c>
    </row>
    <row r="226" spans="1:6">
      <c r="A226" s="313" t="str">
        <f>'PLANILHA 011017'!A235</f>
        <v>16.02</v>
      </c>
      <c r="B226" s="92" t="str">
        <f>'PLANILHA 011017'!B235</f>
        <v>35.04.020</v>
      </c>
      <c r="C226" s="92" t="str">
        <f>'PLANILHA 011017'!C235</f>
        <v>Banco contínuo em concreto vazado</v>
      </c>
      <c r="D226" s="102" t="s">
        <v>728</v>
      </c>
      <c r="E226" s="102">
        <f>ROUND(11+8+2.5+7,2)</f>
        <v>28.5</v>
      </c>
      <c r="F226" s="312" t="str">
        <f>'PLANILHA 011017'!D235</f>
        <v>M</v>
      </c>
    </row>
    <row r="227" spans="1:6">
      <c r="A227" s="313" t="str">
        <f>'PLANILHA 011017'!A236</f>
        <v>16.03</v>
      </c>
      <c r="B227" s="92" t="str">
        <f>'PLANILHA 011017'!B236</f>
        <v>45.02.040</v>
      </c>
      <c r="C227" s="92" t="str">
        <f>'PLANILHA 011017'!C236</f>
        <v>Entrada completa de gás GLP com 2 cilindros de 45 kg</v>
      </c>
      <c r="D227" s="102">
        <v>1</v>
      </c>
      <c r="E227" s="102">
        <v>1</v>
      </c>
      <c r="F227" s="312" t="str">
        <f>'PLANILHA 011017'!D236</f>
        <v>UN</v>
      </c>
    </row>
    <row r="228" spans="1:6">
      <c r="A228" s="313" t="str">
        <f>'PLANILHA 011017'!A237</f>
        <v>16.04</v>
      </c>
      <c r="B228" s="92" t="str">
        <f>'PLANILHA 011017'!B237</f>
        <v>48.02.400</v>
      </c>
      <c r="C228" s="92" t="str">
        <f>'PLANILHA 011017'!C237</f>
        <v>Reservatório em polietileno com tampa de rosca - capacidade de 1.000 litros</v>
      </c>
      <c r="D228" s="102">
        <v>2</v>
      </c>
      <c r="E228" s="102">
        <v>2</v>
      </c>
      <c r="F228" s="312" t="str">
        <f>'PLANILHA 011017'!D237</f>
        <v>UN</v>
      </c>
    </row>
    <row r="229" spans="1:6">
      <c r="A229" s="313" t="str">
        <f>'PLANILHA 011017'!A238</f>
        <v>16.05</v>
      </c>
      <c r="B229" s="92" t="str">
        <f>'PLANILHA 011017'!B238</f>
        <v>55.01.020</v>
      </c>
      <c r="C229" s="92" t="str">
        <f>'PLANILHA 011017'!C238</f>
        <v>Limpeza final da obra</v>
      </c>
      <c r="D229" s="102" t="s">
        <v>861</v>
      </c>
      <c r="E229" s="102">
        <v>612.26</v>
      </c>
      <c r="F229" s="312" t="str">
        <f>'PLANILHA 011017'!D238</f>
        <v>M2</v>
      </c>
    </row>
    <row r="230" spans="1:6">
      <c r="A230" s="313" t="str">
        <f>'PLANILHA 011017'!A239</f>
        <v>16.06</v>
      </c>
      <c r="B230" s="92" t="str">
        <f>'PLANILHA 011017'!B239</f>
        <v>55.01.030</v>
      </c>
      <c r="C230" s="92" t="str">
        <f>'PLANILHA 011017'!C239</f>
        <v>Limpeza complementar com hidrojateamento</v>
      </c>
      <c r="D230" s="102" t="s">
        <v>873</v>
      </c>
      <c r="E230" s="102">
        <f>ROUND(417.85+187.62,2)</f>
        <v>605.47</v>
      </c>
      <c r="F230" s="312" t="str">
        <f>'PLANILHA 011017'!D239</f>
        <v>M2</v>
      </c>
    </row>
    <row r="231" spans="1:6">
      <c r="A231" s="318"/>
      <c r="B231" s="258"/>
      <c r="C231" s="258"/>
      <c r="D231" s="259"/>
      <c r="E231" s="260"/>
      <c r="F231" s="319"/>
    </row>
    <row r="232" spans="1:6">
      <c r="A232" s="318"/>
      <c r="B232" s="258"/>
      <c r="C232" s="258"/>
      <c r="D232" s="259"/>
      <c r="E232" s="260"/>
      <c r="F232" s="319"/>
    </row>
    <row r="233" spans="1:6" ht="14.25">
      <c r="A233" s="318"/>
      <c r="B233" s="370" t="s">
        <v>894</v>
      </c>
      <c r="C233" s="370"/>
      <c r="D233" s="370"/>
      <c r="E233" s="260"/>
      <c r="F233" s="319"/>
    </row>
    <row r="234" spans="1:6" ht="14.25">
      <c r="A234" s="320"/>
      <c r="B234" s="300"/>
      <c r="C234" s="6"/>
      <c r="D234" s="262"/>
      <c r="E234" s="263"/>
      <c r="F234" s="321"/>
    </row>
    <row r="235" spans="1:6" ht="14.25">
      <c r="A235" s="320"/>
      <c r="B235" s="300"/>
      <c r="C235" s="6"/>
      <c r="D235" s="300" t="s">
        <v>99</v>
      </c>
      <c r="E235" s="263"/>
      <c r="F235" s="321"/>
    </row>
    <row r="236" spans="1:6" ht="15">
      <c r="A236" s="320"/>
      <c r="B236" s="300"/>
      <c r="C236" s="6"/>
      <c r="D236" s="264" t="s">
        <v>515</v>
      </c>
      <c r="E236" s="263"/>
      <c r="F236" s="321"/>
    </row>
    <row r="237" spans="1:6" ht="15">
      <c r="A237" s="320"/>
      <c r="B237" s="300"/>
      <c r="C237" s="6"/>
      <c r="D237" s="264" t="s">
        <v>517</v>
      </c>
      <c r="E237" s="263"/>
      <c r="F237" s="321"/>
    </row>
    <row r="238" spans="1:6" ht="15">
      <c r="A238" s="320"/>
      <c r="B238" s="300"/>
      <c r="C238" s="6"/>
      <c r="D238" s="264" t="s">
        <v>94</v>
      </c>
      <c r="E238" s="263"/>
      <c r="F238" s="321"/>
    </row>
    <row r="239" spans="1:6" ht="15.75" thickBot="1">
      <c r="A239" s="322"/>
      <c r="B239" s="323"/>
      <c r="C239" s="324"/>
      <c r="D239" s="325" t="s">
        <v>95</v>
      </c>
      <c r="E239" s="326"/>
      <c r="F239" s="327"/>
    </row>
    <row r="240" spans="1:6">
      <c r="A240" s="255"/>
      <c r="B240" s="255"/>
      <c r="C240" s="255"/>
      <c r="D240" s="256"/>
      <c r="E240" s="257"/>
      <c r="F240" s="257"/>
    </row>
  </sheetData>
  <autoFilter ref="F1:F233"/>
  <mergeCells count="3">
    <mergeCell ref="A1:E1"/>
    <mergeCell ref="O16:S16"/>
    <mergeCell ref="B233:D233"/>
  </mergeCells>
  <phoneticPr fontId="11" type="noConversion"/>
  <pageMargins left="0.511811024" right="0.511811024" top="0.78740157499999996" bottom="0.78740157499999996" header="0.31496062000000002" footer="0.31496062000000002"/>
  <pageSetup paperSize="9" scale="73" fitToHeight="0" orientation="landscape" r:id="rId1"/>
  <colBreaks count="1" manualBreakCount="1">
    <brk id="6" max="2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23" workbookViewId="0">
      <selection sqref="A1:E41"/>
    </sheetView>
  </sheetViews>
  <sheetFormatPr defaultColWidth="9.140625" defaultRowHeight="15"/>
  <cols>
    <col min="1" max="1" width="9.140625" style="144"/>
    <col min="2" max="2" width="10" style="144" bestFit="1" customWidth="1"/>
    <col min="3" max="3" width="13.85546875" style="144" customWidth="1"/>
    <col min="4" max="4" width="10" style="144" customWidth="1"/>
    <col min="5" max="5" width="10.28515625" style="151" customWidth="1"/>
    <col min="6" max="16384" width="9.140625" style="144"/>
  </cols>
  <sheetData>
    <row r="1" spans="1:5">
      <c r="A1" s="391" t="s">
        <v>685</v>
      </c>
      <c r="B1" s="391"/>
      <c r="C1" s="391"/>
      <c r="D1" s="391"/>
      <c r="E1" s="391"/>
    </row>
    <row r="2" spans="1:5" ht="30">
      <c r="A2" s="145" t="s">
        <v>96</v>
      </c>
      <c r="B2" s="145" t="s">
        <v>663</v>
      </c>
      <c r="C2" s="146" t="s">
        <v>664</v>
      </c>
      <c r="D2" s="146" t="s">
        <v>686</v>
      </c>
      <c r="E2" s="149" t="s">
        <v>687</v>
      </c>
    </row>
    <row r="3" spans="1:5">
      <c r="A3" s="143">
        <v>1</v>
      </c>
      <c r="B3" s="143">
        <v>3</v>
      </c>
      <c r="C3" s="143">
        <v>3.55</v>
      </c>
      <c r="D3" s="143">
        <v>0.2</v>
      </c>
      <c r="E3" s="147">
        <f>B3*C3*D3</f>
        <v>2.13</v>
      </c>
    </row>
    <row r="4" spans="1:5">
      <c r="A4" s="143">
        <v>2</v>
      </c>
      <c r="B4" s="143">
        <v>2.1</v>
      </c>
      <c r="C4" s="143">
        <v>0.22</v>
      </c>
      <c r="D4" s="143">
        <v>0.25</v>
      </c>
      <c r="E4" s="147">
        <f>B4*C4*D4</f>
        <v>0.11550000000000001</v>
      </c>
    </row>
    <row r="5" spans="1:5">
      <c r="A5" s="143">
        <v>3</v>
      </c>
      <c r="B5" s="143">
        <v>1.2</v>
      </c>
      <c r="C5" s="143">
        <v>0.67</v>
      </c>
      <c r="D5" s="143">
        <v>0.25</v>
      </c>
      <c r="E5" s="147">
        <f>B5*C5*D5</f>
        <v>0.20100000000000001</v>
      </c>
    </row>
    <row r="6" spans="1:5">
      <c r="A6" s="143">
        <v>4</v>
      </c>
      <c r="B6" s="143">
        <v>3</v>
      </c>
      <c r="C6" s="143">
        <v>4.7</v>
      </c>
      <c r="D6" s="143">
        <v>0.2</v>
      </c>
      <c r="E6" s="147">
        <f>B6*C6*D6</f>
        <v>2.8200000000000003</v>
      </c>
    </row>
    <row r="7" spans="1:5">
      <c r="A7" s="143">
        <v>5</v>
      </c>
      <c r="B7" s="143">
        <v>3</v>
      </c>
      <c r="C7" s="143">
        <v>3.18</v>
      </c>
      <c r="D7" s="143">
        <v>0.15</v>
      </c>
      <c r="E7" s="147">
        <f t="shared" ref="E7:E28" si="0">B7*C7*D7</f>
        <v>1.431</v>
      </c>
    </row>
    <row r="8" spans="1:5">
      <c r="A8" s="143">
        <v>6</v>
      </c>
      <c r="B8" s="143">
        <v>3</v>
      </c>
      <c r="C8" s="143">
        <v>1.1499999999999999</v>
      </c>
      <c r="D8" s="143">
        <v>0.15</v>
      </c>
      <c r="E8" s="147">
        <f t="shared" si="0"/>
        <v>0.51749999999999996</v>
      </c>
    </row>
    <row r="9" spans="1:5">
      <c r="A9" s="143">
        <v>7</v>
      </c>
      <c r="B9" s="143">
        <v>1.5</v>
      </c>
      <c r="C9" s="143">
        <v>0.8</v>
      </c>
      <c r="D9" s="143">
        <v>0.25</v>
      </c>
      <c r="E9" s="147">
        <f t="shared" si="0"/>
        <v>0.30000000000000004</v>
      </c>
    </row>
    <row r="10" spans="1:5">
      <c r="A10" s="143">
        <v>8</v>
      </c>
      <c r="B10" s="143">
        <v>1.5</v>
      </c>
      <c r="C10" s="143">
        <v>0.8</v>
      </c>
      <c r="D10" s="143">
        <v>0.25</v>
      </c>
      <c r="E10" s="147">
        <f t="shared" si="0"/>
        <v>0.30000000000000004</v>
      </c>
    </row>
    <row r="11" spans="1:5">
      <c r="A11" s="143">
        <v>9</v>
      </c>
      <c r="B11" s="143">
        <v>2.1</v>
      </c>
      <c r="C11" s="143">
        <v>0.8</v>
      </c>
      <c r="D11" s="143">
        <v>0.15</v>
      </c>
      <c r="E11" s="147">
        <f t="shared" si="0"/>
        <v>0.252</v>
      </c>
    </row>
    <row r="12" spans="1:5">
      <c r="A12" s="143">
        <v>10</v>
      </c>
      <c r="B12" s="143">
        <v>2.1</v>
      </c>
      <c r="C12" s="143">
        <v>1.25</v>
      </c>
      <c r="D12" s="143">
        <v>0.15</v>
      </c>
      <c r="E12" s="147">
        <f t="shared" si="0"/>
        <v>0.39374999999999999</v>
      </c>
    </row>
    <row r="13" spans="1:5">
      <c r="A13" s="143">
        <v>11</v>
      </c>
      <c r="B13" s="143">
        <v>2.1</v>
      </c>
      <c r="C13" s="143">
        <v>0.25</v>
      </c>
      <c r="D13" s="143">
        <v>0.15</v>
      </c>
      <c r="E13" s="147">
        <f t="shared" si="0"/>
        <v>7.8750000000000001E-2</v>
      </c>
    </row>
    <row r="14" spans="1:5">
      <c r="A14" s="143">
        <v>12</v>
      </c>
      <c r="B14" s="143">
        <v>2.1</v>
      </c>
      <c r="C14" s="143">
        <v>1.1000000000000001</v>
      </c>
      <c r="D14" s="143">
        <v>0.15</v>
      </c>
      <c r="E14" s="147">
        <f t="shared" si="0"/>
        <v>0.34650000000000009</v>
      </c>
    </row>
    <row r="15" spans="1:5">
      <c r="A15" s="143">
        <v>13</v>
      </c>
      <c r="B15" s="143">
        <v>2.1</v>
      </c>
      <c r="C15" s="143">
        <v>0.65</v>
      </c>
      <c r="D15" s="143">
        <v>0.15</v>
      </c>
      <c r="E15" s="147">
        <f t="shared" si="0"/>
        <v>0.20475000000000002</v>
      </c>
    </row>
    <row r="16" spans="1:5">
      <c r="A16" s="143">
        <v>14</v>
      </c>
      <c r="B16" s="143">
        <v>2.1</v>
      </c>
      <c r="C16" s="143">
        <v>1.1000000000000001</v>
      </c>
      <c r="D16" s="143">
        <v>0.15</v>
      </c>
      <c r="E16" s="147">
        <f t="shared" si="0"/>
        <v>0.34650000000000009</v>
      </c>
    </row>
    <row r="17" spans="1:5">
      <c r="A17" s="143">
        <v>15</v>
      </c>
      <c r="B17" s="143">
        <v>2.1</v>
      </c>
      <c r="C17" s="143">
        <v>0.75</v>
      </c>
      <c r="D17" s="143">
        <v>0.15</v>
      </c>
      <c r="E17" s="147">
        <f t="shared" si="0"/>
        <v>0.23625000000000002</v>
      </c>
    </row>
    <row r="18" spans="1:5">
      <c r="A18" s="143">
        <v>16</v>
      </c>
      <c r="B18" s="143">
        <v>2.1</v>
      </c>
      <c r="C18" s="143">
        <v>0.3</v>
      </c>
      <c r="D18" s="143">
        <v>0.15</v>
      </c>
      <c r="E18" s="147">
        <f t="shared" si="0"/>
        <v>9.4500000000000001E-2</v>
      </c>
    </row>
    <row r="19" spans="1:5">
      <c r="A19" s="143">
        <v>17</v>
      </c>
      <c r="B19" s="143">
        <v>2.1</v>
      </c>
      <c r="C19" s="143">
        <v>1.55</v>
      </c>
      <c r="D19" s="143">
        <v>0.15</v>
      </c>
      <c r="E19" s="147">
        <f t="shared" si="0"/>
        <v>0.48825000000000002</v>
      </c>
    </row>
    <row r="20" spans="1:5">
      <c r="A20" s="143">
        <v>18</v>
      </c>
      <c r="B20" s="143">
        <v>2.1</v>
      </c>
      <c r="C20" s="143">
        <v>1.25</v>
      </c>
      <c r="D20" s="143">
        <v>0.15</v>
      </c>
      <c r="E20" s="147">
        <f t="shared" si="0"/>
        <v>0.39374999999999999</v>
      </c>
    </row>
    <row r="21" spans="1:5">
      <c r="A21" s="143">
        <v>19</v>
      </c>
      <c r="B21" s="143">
        <v>2.1</v>
      </c>
      <c r="C21" s="143">
        <v>0.25</v>
      </c>
      <c r="D21" s="143">
        <v>0.15</v>
      </c>
      <c r="E21" s="147">
        <f t="shared" si="0"/>
        <v>7.8750000000000001E-2</v>
      </c>
    </row>
    <row r="22" spans="1:5">
      <c r="A22" s="143">
        <v>20</v>
      </c>
      <c r="B22" s="143">
        <v>2.1</v>
      </c>
      <c r="C22" s="143">
        <v>1.1000000000000001</v>
      </c>
      <c r="D22" s="143">
        <v>0.15</v>
      </c>
      <c r="E22" s="147">
        <f t="shared" si="0"/>
        <v>0.34650000000000009</v>
      </c>
    </row>
    <row r="23" spans="1:5">
      <c r="A23" s="143">
        <v>21</v>
      </c>
      <c r="B23" s="143">
        <v>2.1</v>
      </c>
      <c r="C23" s="143">
        <v>0.7</v>
      </c>
      <c r="D23" s="143">
        <v>0.15</v>
      </c>
      <c r="E23" s="147">
        <f t="shared" si="0"/>
        <v>0.2205</v>
      </c>
    </row>
    <row r="24" spans="1:5">
      <c r="A24" s="143">
        <v>22</v>
      </c>
      <c r="B24" s="143">
        <v>2.1</v>
      </c>
      <c r="C24" s="143">
        <v>1.1000000000000001</v>
      </c>
      <c r="D24" s="143">
        <v>0.15</v>
      </c>
      <c r="E24" s="147">
        <f t="shared" si="0"/>
        <v>0.34650000000000009</v>
      </c>
    </row>
    <row r="25" spans="1:5">
      <c r="A25" s="143">
        <v>23</v>
      </c>
      <c r="B25" s="143">
        <v>2.1</v>
      </c>
      <c r="C25" s="143">
        <v>0.7</v>
      </c>
      <c r="D25" s="143">
        <v>0.15</v>
      </c>
      <c r="E25" s="147">
        <f t="shared" si="0"/>
        <v>0.2205</v>
      </c>
    </row>
    <row r="26" spans="1:5">
      <c r="A26" s="143">
        <v>24</v>
      </c>
      <c r="B26" s="143">
        <v>2.1</v>
      </c>
      <c r="C26" s="143">
        <v>1.1000000000000001</v>
      </c>
      <c r="D26" s="143">
        <v>0.15</v>
      </c>
      <c r="E26" s="147">
        <f t="shared" si="0"/>
        <v>0.34650000000000009</v>
      </c>
    </row>
    <row r="27" spans="1:5">
      <c r="A27" s="143">
        <v>25</v>
      </c>
      <c r="B27" s="143">
        <v>2.1</v>
      </c>
      <c r="C27" s="143">
        <v>1.5</v>
      </c>
      <c r="D27" s="143">
        <v>0.15</v>
      </c>
      <c r="E27" s="147">
        <f t="shared" si="0"/>
        <v>0.47250000000000003</v>
      </c>
    </row>
    <row r="28" spans="1:5">
      <c r="A28" s="143">
        <v>26</v>
      </c>
      <c r="B28" s="143">
        <v>0.5</v>
      </c>
      <c r="C28" s="143">
        <f>18.7+8+8</f>
        <v>34.700000000000003</v>
      </c>
      <c r="D28" s="143">
        <v>0.45</v>
      </c>
      <c r="E28" s="147">
        <f t="shared" si="0"/>
        <v>7.807500000000001</v>
      </c>
    </row>
    <row r="29" spans="1:5">
      <c r="A29" s="143">
        <v>27</v>
      </c>
      <c r="B29" s="143">
        <v>2.2999999999999998</v>
      </c>
      <c r="C29" s="143">
        <v>9.6999999999999993</v>
      </c>
      <c r="D29" s="143">
        <v>0.2</v>
      </c>
      <c r="E29" s="147">
        <f>B29*C29*D29</f>
        <v>4.4619999999999989</v>
      </c>
    </row>
    <row r="30" spans="1:5">
      <c r="A30" s="143">
        <v>28</v>
      </c>
      <c r="B30" s="392">
        <v>3.65</v>
      </c>
      <c r="C30" s="392"/>
      <c r="D30" s="143">
        <v>0.25</v>
      </c>
      <c r="E30" s="147">
        <f>B30*D30</f>
        <v>0.91249999999999998</v>
      </c>
    </row>
    <row r="31" spans="1:5">
      <c r="A31" s="143">
        <v>29</v>
      </c>
      <c r="B31" s="392">
        <v>0.65</v>
      </c>
      <c r="C31" s="392"/>
      <c r="D31" s="143">
        <v>0.25</v>
      </c>
      <c r="E31" s="147">
        <f>B31*D31</f>
        <v>0.16250000000000001</v>
      </c>
    </row>
    <row r="32" spans="1:5">
      <c r="A32" s="143">
        <v>30</v>
      </c>
      <c r="B32" s="392">
        <v>4.26</v>
      </c>
      <c r="C32" s="392"/>
      <c r="D32" s="143">
        <v>0.25</v>
      </c>
      <c r="E32" s="147">
        <f>B32*D32</f>
        <v>1.0649999999999999</v>
      </c>
    </row>
    <row r="33" spans="1:8">
      <c r="A33" s="391" t="s">
        <v>98</v>
      </c>
      <c r="B33" s="391"/>
      <c r="C33" s="391"/>
      <c r="D33" s="391"/>
      <c r="E33" s="150">
        <f>SUM(E3:E32)</f>
        <v>27.091250000000009</v>
      </c>
    </row>
    <row r="34" spans="1:8">
      <c r="A34" s="265"/>
      <c r="B34" s="266"/>
      <c r="C34" s="266"/>
      <c r="D34" s="265"/>
      <c r="E34" s="267"/>
    </row>
    <row r="35" spans="1:8">
      <c r="A35" s="390" t="s">
        <v>894</v>
      </c>
      <c r="B35" s="390"/>
      <c r="C35" s="390"/>
      <c r="D35" s="390"/>
      <c r="E35" s="390"/>
    </row>
    <row r="36" spans="1:8">
      <c r="A36" s="261"/>
      <c r="B36" s="6"/>
      <c r="C36" s="262"/>
      <c r="D36" s="268"/>
      <c r="E36" s="269"/>
    </row>
    <row r="37" spans="1:8">
      <c r="A37" s="261"/>
      <c r="B37" s="6"/>
      <c r="C37" s="261" t="s">
        <v>99</v>
      </c>
      <c r="D37" s="270"/>
      <c r="E37" s="271"/>
    </row>
    <row r="38" spans="1:8">
      <c r="A38" s="261"/>
      <c r="B38" s="6"/>
      <c r="C38" s="264" t="s">
        <v>515</v>
      </c>
      <c r="D38" s="270"/>
      <c r="E38" s="271"/>
    </row>
    <row r="39" spans="1:8">
      <c r="A39" s="261"/>
      <c r="B39" s="6"/>
      <c r="C39" s="264" t="s">
        <v>517</v>
      </c>
      <c r="D39" s="270"/>
      <c r="E39" s="271"/>
      <c r="H39" s="243" t="s">
        <v>860</v>
      </c>
    </row>
    <row r="40" spans="1:8">
      <c r="A40" s="261"/>
      <c r="B40" s="6"/>
      <c r="C40" s="264" t="s">
        <v>94</v>
      </c>
      <c r="D40" s="270"/>
      <c r="E40" s="271"/>
    </row>
    <row r="41" spans="1:8">
      <c r="A41" s="261"/>
      <c r="B41" s="6"/>
      <c r="C41" s="264" t="s">
        <v>95</v>
      </c>
      <c r="D41" s="270"/>
      <c r="E41" s="271"/>
    </row>
  </sheetData>
  <mergeCells count="6">
    <mergeCell ref="A35:E35"/>
    <mergeCell ref="A1:E1"/>
    <mergeCell ref="B30:C30"/>
    <mergeCell ref="B31:C31"/>
    <mergeCell ref="B32:C32"/>
    <mergeCell ref="A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5"/>
  <sheetViews>
    <sheetView topLeftCell="A103" zoomScale="80" zoomScaleNormal="80" workbookViewId="0">
      <selection sqref="A1:M115"/>
    </sheetView>
  </sheetViews>
  <sheetFormatPr defaultColWidth="9.140625" defaultRowHeight="15"/>
  <cols>
    <col min="1" max="2" width="9.140625" style="248"/>
    <col min="3" max="3" width="11" style="248" bestFit="1" customWidth="1"/>
    <col min="4" max="4" width="52.42578125" style="254" customWidth="1"/>
    <col min="5" max="5" width="9.140625" style="248"/>
    <col min="6" max="6" width="22.42578125" style="248" bestFit="1" customWidth="1"/>
    <col min="7" max="7" width="22.42578125" style="248" customWidth="1"/>
    <col min="8" max="8" width="23" style="248" bestFit="1" customWidth="1"/>
    <col min="9" max="9" width="11.85546875" style="248" customWidth="1"/>
    <col min="10" max="10" width="11" style="248" bestFit="1" customWidth="1"/>
    <col min="11" max="11" width="10.28515625" style="248" bestFit="1" customWidth="1"/>
    <col min="12" max="12" width="9.140625" style="248"/>
    <col min="13" max="13" width="11.28515625" style="248" bestFit="1" customWidth="1"/>
    <col min="14" max="16384" width="9.140625" style="248"/>
  </cols>
  <sheetData>
    <row r="1" spans="1:13" ht="15.75">
      <c r="A1" s="414" t="s">
        <v>906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6"/>
    </row>
    <row r="2" spans="1:13">
      <c r="A2" s="328" t="s">
        <v>8</v>
      </c>
      <c r="B2" s="245" t="s">
        <v>811</v>
      </c>
      <c r="C2" s="245" t="s">
        <v>812</v>
      </c>
      <c r="D2" s="246" t="s">
        <v>9</v>
      </c>
      <c r="E2" s="245" t="s">
        <v>813</v>
      </c>
      <c r="F2" s="247"/>
      <c r="G2" s="302"/>
      <c r="H2" s="393" t="s">
        <v>814</v>
      </c>
      <c r="I2" s="393"/>
      <c r="J2" s="393"/>
      <c r="K2" s="393"/>
      <c r="L2" s="393"/>
      <c r="M2" s="394"/>
    </row>
    <row r="3" spans="1:13">
      <c r="A3" s="328"/>
      <c r="B3" s="245"/>
      <c r="C3" s="245"/>
      <c r="D3" s="246"/>
      <c r="E3" s="245"/>
      <c r="F3" s="247"/>
      <c r="G3" s="302"/>
      <c r="H3" s="302"/>
      <c r="I3" s="393" t="s">
        <v>815</v>
      </c>
      <c r="J3" s="393"/>
      <c r="K3" s="393"/>
      <c r="L3" s="393"/>
      <c r="M3" s="329"/>
    </row>
    <row r="4" spans="1:13">
      <c r="A4" s="395" t="s">
        <v>419</v>
      </c>
      <c r="B4" s="396" t="s">
        <v>816</v>
      </c>
      <c r="C4" s="396" t="s">
        <v>493</v>
      </c>
      <c r="D4" s="396" t="s">
        <v>305</v>
      </c>
      <c r="E4" s="396" t="s">
        <v>489</v>
      </c>
      <c r="F4" s="247"/>
      <c r="G4" s="302"/>
      <c r="H4" s="301"/>
      <c r="I4" s="249" t="s">
        <v>817</v>
      </c>
      <c r="J4" s="249" t="s">
        <v>818</v>
      </c>
      <c r="K4" s="249"/>
      <c r="L4" s="249"/>
      <c r="M4" s="330" t="s">
        <v>819</v>
      </c>
    </row>
    <row r="5" spans="1:13" ht="38.25">
      <c r="A5" s="395"/>
      <c r="B5" s="396"/>
      <c r="C5" s="396"/>
      <c r="D5" s="396"/>
      <c r="E5" s="396"/>
      <c r="F5" s="301"/>
      <c r="G5" s="301"/>
      <c r="H5" s="301" t="s">
        <v>820</v>
      </c>
      <c r="I5" s="301">
        <v>24</v>
      </c>
      <c r="J5" s="301">
        <v>3</v>
      </c>
      <c r="K5" s="301"/>
      <c r="L5" s="301"/>
      <c r="M5" s="331">
        <f>ROUND(I5*J5+K5*L5,2)</f>
        <v>72</v>
      </c>
    </row>
    <row r="6" spans="1:13">
      <c r="A6" s="395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238" t="s">
        <v>98</v>
      </c>
      <c r="M6" s="332">
        <f>ROUND(SUM(M5:M5),2)</f>
        <v>72</v>
      </c>
    </row>
    <row r="7" spans="1:13">
      <c r="A7" s="395"/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8"/>
    </row>
    <row r="8" spans="1:13">
      <c r="A8" s="395"/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8"/>
    </row>
    <row r="9" spans="1:13">
      <c r="A9" s="328" t="s">
        <v>8</v>
      </c>
      <c r="B9" s="245" t="s">
        <v>811</v>
      </c>
      <c r="C9" s="245" t="s">
        <v>812</v>
      </c>
      <c r="D9" s="246" t="s">
        <v>9</v>
      </c>
      <c r="E9" s="245" t="s">
        <v>813</v>
      </c>
      <c r="F9" s="399"/>
      <c r="G9" s="303"/>
      <c r="H9" s="399" t="s">
        <v>814</v>
      </c>
      <c r="I9" s="399"/>
      <c r="J9" s="399"/>
      <c r="K9" s="399"/>
      <c r="L9" s="399"/>
      <c r="M9" s="400"/>
    </row>
    <row r="10" spans="1:13" ht="38.25">
      <c r="A10" s="395" t="s">
        <v>91</v>
      </c>
      <c r="B10" s="396" t="s">
        <v>816</v>
      </c>
      <c r="C10" s="401" t="s">
        <v>34</v>
      </c>
      <c r="D10" s="402" t="s">
        <v>421</v>
      </c>
      <c r="E10" s="396" t="s">
        <v>492</v>
      </c>
      <c r="F10" s="399"/>
      <c r="G10" s="303" t="s">
        <v>821</v>
      </c>
      <c r="H10" s="303" t="s">
        <v>822</v>
      </c>
      <c r="I10" s="239" t="s">
        <v>823</v>
      </c>
      <c r="J10" s="303" t="s">
        <v>824</v>
      </c>
      <c r="K10" s="239" t="s">
        <v>825</v>
      </c>
      <c r="L10" s="239" t="s">
        <v>826</v>
      </c>
      <c r="M10" s="333" t="s">
        <v>827</v>
      </c>
    </row>
    <row r="11" spans="1:13">
      <c r="A11" s="395"/>
      <c r="B11" s="396"/>
      <c r="C11" s="401"/>
      <c r="D11" s="402"/>
      <c r="E11" s="396"/>
      <c r="F11" s="403" t="s">
        <v>828</v>
      </c>
      <c r="G11" s="240" t="s">
        <v>829</v>
      </c>
      <c r="H11" s="240" t="s">
        <v>830</v>
      </c>
      <c r="I11" s="240">
        <v>1</v>
      </c>
      <c r="J11" s="304">
        <v>8.4499999999999993</v>
      </c>
      <c r="K11" s="304">
        <v>4</v>
      </c>
      <c r="L11" s="304">
        <v>0.61699999999999999</v>
      </c>
      <c r="M11" s="334">
        <f>ROUND(I11*J11*K11*L11,2)</f>
        <v>20.85</v>
      </c>
    </row>
    <row r="12" spans="1:13">
      <c r="A12" s="395"/>
      <c r="B12" s="396"/>
      <c r="C12" s="401"/>
      <c r="D12" s="402"/>
      <c r="E12" s="396"/>
      <c r="F12" s="404"/>
      <c r="G12" s="240" t="s">
        <v>831</v>
      </c>
      <c r="H12" s="240" t="s">
        <v>830</v>
      </c>
      <c r="I12" s="240">
        <v>1</v>
      </c>
      <c r="J12" s="304">
        <v>9.6</v>
      </c>
      <c r="K12" s="304">
        <v>4</v>
      </c>
      <c r="L12" s="304">
        <v>0.61699999999999999</v>
      </c>
      <c r="M12" s="334">
        <f t="shared" ref="M12:M29" si="0">ROUND(I12*J12*K12*L12,2)</f>
        <v>23.69</v>
      </c>
    </row>
    <row r="13" spans="1:13">
      <c r="A13" s="395"/>
      <c r="B13" s="396"/>
      <c r="C13" s="401"/>
      <c r="D13" s="402"/>
      <c r="E13" s="396"/>
      <c r="F13" s="404"/>
      <c r="G13" s="240" t="s">
        <v>832</v>
      </c>
      <c r="H13" s="240" t="s">
        <v>830</v>
      </c>
      <c r="I13" s="240">
        <v>1</v>
      </c>
      <c r="J13" s="304">
        <v>11.45</v>
      </c>
      <c r="K13" s="304">
        <v>4</v>
      </c>
      <c r="L13" s="304">
        <v>0.61699999999999999</v>
      </c>
      <c r="M13" s="334">
        <f t="shared" si="0"/>
        <v>28.26</v>
      </c>
    </row>
    <row r="14" spans="1:13">
      <c r="A14" s="395"/>
      <c r="B14" s="396"/>
      <c r="C14" s="401"/>
      <c r="D14" s="402"/>
      <c r="E14" s="396"/>
      <c r="F14" s="404"/>
      <c r="G14" s="240" t="s">
        <v>833</v>
      </c>
      <c r="H14" s="240" t="s">
        <v>830</v>
      </c>
      <c r="I14" s="240">
        <v>1</v>
      </c>
      <c r="J14" s="304">
        <v>3.55</v>
      </c>
      <c r="K14" s="304">
        <v>4</v>
      </c>
      <c r="L14" s="304">
        <v>0.61699999999999999</v>
      </c>
      <c r="M14" s="334">
        <f t="shared" si="0"/>
        <v>8.76</v>
      </c>
    </row>
    <row r="15" spans="1:13">
      <c r="A15" s="395"/>
      <c r="B15" s="396"/>
      <c r="C15" s="401"/>
      <c r="D15" s="402"/>
      <c r="E15" s="396"/>
      <c r="F15" s="404"/>
      <c r="G15" s="240" t="s">
        <v>834</v>
      </c>
      <c r="H15" s="240" t="s">
        <v>830</v>
      </c>
      <c r="I15" s="240">
        <v>1</v>
      </c>
      <c r="J15" s="304">
        <v>4.7</v>
      </c>
      <c r="K15" s="304">
        <v>4</v>
      </c>
      <c r="L15" s="304">
        <v>0.61699999999999999</v>
      </c>
      <c r="M15" s="334">
        <f t="shared" si="0"/>
        <v>11.6</v>
      </c>
    </row>
    <row r="16" spans="1:13">
      <c r="A16" s="395"/>
      <c r="B16" s="396"/>
      <c r="C16" s="401"/>
      <c r="D16" s="402"/>
      <c r="E16" s="396"/>
      <c r="F16" s="404"/>
      <c r="G16" s="240" t="s">
        <v>835</v>
      </c>
      <c r="H16" s="240" t="s">
        <v>830</v>
      </c>
      <c r="I16" s="240">
        <v>1</v>
      </c>
      <c r="J16" s="304">
        <v>3</v>
      </c>
      <c r="K16" s="304">
        <v>4</v>
      </c>
      <c r="L16" s="304">
        <v>0.61699999999999999</v>
      </c>
      <c r="M16" s="334">
        <f t="shared" si="0"/>
        <v>7.4</v>
      </c>
    </row>
    <row r="17" spans="1:14">
      <c r="A17" s="395"/>
      <c r="B17" s="396"/>
      <c r="C17" s="401"/>
      <c r="D17" s="402"/>
      <c r="E17" s="396"/>
      <c r="F17" s="405"/>
      <c r="G17" s="240" t="s">
        <v>836</v>
      </c>
      <c r="H17" s="240" t="s">
        <v>830</v>
      </c>
      <c r="I17" s="240">
        <v>1</v>
      </c>
      <c r="J17" s="304">
        <v>3.2</v>
      </c>
      <c r="K17" s="304">
        <v>4</v>
      </c>
      <c r="L17" s="304">
        <v>0.61699999999999999</v>
      </c>
      <c r="M17" s="334">
        <f t="shared" si="0"/>
        <v>7.9</v>
      </c>
    </row>
    <row r="18" spans="1:14">
      <c r="A18" s="395"/>
      <c r="B18" s="396"/>
      <c r="C18" s="401"/>
      <c r="D18" s="402"/>
      <c r="E18" s="396"/>
      <c r="F18" s="406" t="s">
        <v>837</v>
      </c>
      <c r="G18" s="240" t="s">
        <v>884</v>
      </c>
      <c r="H18" s="240" t="s">
        <v>830</v>
      </c>
      <c r="I18" s="240">
        <v>4</v>
      </c>
      <c r="J18" s="304">
        <v>1</v>
      </c>
      <c r="K18" s="304">
        <v>4</v>
      </c>
      <c r="L18" s="304">
        <v>0.61699999999999999</v>
      </c>
      <c r="M18" s="334">
        <f t="shared" si="0"/>
        <v>9.8699999999999992</v>
      </c>
      <c r="N18" s="250"/>
    </row>
    <row r="19" spans="1:14">
      <c r="A19" s="395"/>
      <c r="B19" s="396"/>
      <c r="C19" s="401"/>
      <c r="D19" s="402"/>
      <c r="E19" s="396"/>
      <c r="F19" s="407"/>
      <c r="G19" s="240" t="s">
        <v>838</v>
      </c>
      <c r="H19" s="240" t="s">
        <v>830</v>
      </c>
      <c r="I19" s="240">
        <v>4</v>
      </c>
      <c r="J19" s="304">
        <v>2.6</v>
      </c>
      <c r="K19" s="304">
        <v>4</v>
      </c>
      <c r="L19" s="304">
        <v>0.61699999999999999</v>
      </c>
      <c r="M19" s="334">
        <f t="shared" si="0"/>
        <v>25.67</v>
      </c>
      <c r="N19" s="250"/>
    </row>
    <row r="20" spans="1:14">
      <c r="A20" s="395"/>
      <c r="B20" s="396"/>
      <c r="C20" s="401"/>
      <c r="D20" s="402"/>
      <c r="E20" s="396"/>
      <c r="F20" s="407"/>
      <c r="G20" s="240" t="s">
        <v>839</v>
      </c>
      <c r="H20" s="240" t="s">
        <v>830</v>
      </c>
      <c r="I20" s="240">
        <v>1</v>
      </c>
      <c r="J20" s="304">
        <v>0.65</v>
      </c>
      <c r="K20" s="304">
        <v>4</v>
      </c>
      <c r="L20" s="304">
        <v>0.61699999999999999</v>
      </c>
      <c r="M20" s="334">
        <f t="shared" si="0"/>
        <v>1.6</v>
      </c>
      <c r="N20" s="250"/>
    </row>
    <row r="21" spans="1:14">
      <c r="A21" s="395"/>
      <c r="B21" s="396"/>
      <c r="C21" s="401"/>
      <c r="D21" s="402"/>
      <c r="E21" s="396"/>
      <c r="F21" s="407"/>
      <c r="G21" s="240" t="s">
        <v>840</v>
      </c>
      <c r="H21" s="240" t="s">
        <v>830</v>
      </c>
      <c r="I21" s="240">
        <v>1</v>
      </c>
      <c r="J21" s="304">
        <v>0.85</v>
      </c>
      <c r="K21" s="304">
        <v>4</v>
      </c>
      <c r="L21" s="304">
        <v>0.61699999999999999</v>
      </c>
      <c r="M21" s="334">
        <f t="shared" si="0"/>
        <v>2.1</v>
      </c>
      <c r="N21" s="250"/>
    </row>
    <row r="22" spans="1:14">
      <c r="A22" s="395"/>
      <c r="B22" s="396"/>
      <c r="C22" s="401"/>
      <c r="D22" s="402"/>
      <c r="E22" s="396"/>
      <c r="F22" s="407"/>
      <c r="G22" s="240" t="s">
        <v>883</v>
      </c>
      <c r="H22" s="240" t="s">
        <v>830</v>
      </c>
      <c r="I22" s="240">
        <v>1</v>
      </c>
      <c r="J22" s="304">
        <v>1.05</v>
      </c>
      <c r="K22" s="304">
        <v>4</v>
      </c>
      <c r="L22" s="304">
        <v>0.61699999999999999</v>
      </c>
      <c r="M22" s="334">
        <f t="shared" ref="M22" si="1">ROUND(I22*J22*K22*L22,2)</f>
        <v>2.59</v>
      </c>
      <c r="N22" s="250"/>
    </row>
    <row r="23" spans="1:14">
      <c r="A23" s="395"/>
      <c r="B23" s="396"/>
      <c r="C23" s="401"/>
      <c r="D23" s="402"/>
      <c r="E23" s="396"/>
      <c r="F23" s="407"/>
      <c r="G23" s="240" t="s">
        <v>841</v>
      </c>
      <c r="H23" s="240" t="s">
        <v>830</v>
      </c>
      <c r="I23" s="240">
        <v>1</v>
      </c>
      <c r="J23" s="304">
        <v>1.2</v>
      </c>
      <c r="K23" s="304">
        <v>4</v>
      </c>
      <c r="L23" s="304">
        <v>0.61699999999999999</v>
      </c>
      <c r="M23" s="334">
        <f t="shared" si="0"/>
        <v>2.96</v>
      </c>
      <c r="N23" s="250"/>
    </row>
    <row r="24" spans="1:14">
      <c r="A24" s="395"/>
      <c r="B24" s="396"/>
      <c r="C24" s="401"/>
      <c r="D24" s="402"/>
      <c r="E24" s="396"/>
      <c r="F24" s="407"/>
      <c r="G24" s="240" t="s">
        <v>842</v>
      </c>
      <c r="H24" s="240" t="s">
        <v>830</v>
      </c>
      <c r="I24" s="240">
        <v>1</v>
      </c>
      <c r="J24" s="304">
        <v>1.25</v>
      </c>
      <c r="K24" s="304">
        <v>4</v>
      </c>
      <c r="L24" s="304">
        <v>0.61699999999999999</v>
      </c>
      <c r="M24" s="334">
        <f t="shared" si="0"/>
        <v>3.09</v>
      </c>
      <c r="N24" s="250"/>
    </row>
    <row r="25" spans="1:14">
      <c r="A25" s="395"/>
      <c r="B25" s="396"/>
      <c r="C25" s="401"/>
      <c r="D25" s="402"/>
      <c r="E25" s="396"/>
      <c r="F25" s="407"/>
      <c r="G25" s="240" t="s">
        <v>843</v>
      </c>
      <c r="H25" s="240" t="s">
        <v>830</v>
      </c>
      <c r="I25" s="240">
        <v>4</v>
      </c>
      <c r="J25" s="304">
        <v>2.5499999999999998</v>
      </c>
      <c r="K25" s="304">
        <v>4</v>
      </c>
      <c r="L25" s="304">
        <v>0.61699999999999999</v>
      </c>
      <c r="M25" s="334">
        <f t="shared" si="0"/>
        <v>25.17</v>
      </c>
      <c r="N25" s="250"/>
    </row>
    <row r="26" spans="1:14">
      <c r="A26" s="395"/>
      <c r="B26" s="396"/>
      <c r="C26" s="401"/>
      <c r="D26" s="402"/>
      <c r="E26" s="396"/>
      <c r="F26" s="407"/>
      <c r="G26" s="240" t="s">
        <v>844</v>
      </c>
      <c r="H26" s="240" t="s">
        <v>830</v>
      </c>
      <c r="I26" s="240">
        <v>4</v>
      </c>
      <c r="J26" s="304">
        <v>1</v>
      </c>
      <c r="K26" s="304">
        <v>4</v>
      </c>
      <c r="L26" s="304">
        <v>0.61699999999999999</v>
      </c>
      <c r="M26" s="334">
        <f t="shared" si="0"/>
        <v>9.8699999999999992</v>
      </c>
      <c r="N26" s="250"/>
    </row>
    <row r="27" spans="1:14">
      <c r="A27" s="395"/>
      <c r="B27" s="396"/>
      <c r="C27" s="401"/>
      <c r="D27" s="402"/>
      <c r="E27" s="396"/>
      <c r="F27" s="408" t="s">
        <v>845</v>
      </c>
      <c r="G27" s="240" t="s">
        <v>846</v>
      </c>
      <c r="H27" s="240" t="s">
        <v>847</v>
      </c>
      <c r="I27" s="240">
        <v>1</v>
      </c>
      <c r="J27" s="304">
        <v>8.4499999999999993</v>
      </c>
      <c r="K27" s="304">
        <v>4</v>
      </c>
      <c r="L27" s="304">
        <v>0.39500000000000002</v>
      </c>
      <c r="M27" s="334">
        <f t="shared" si="0"/>
        <v>13.35</v>
      </c>
      <c r="N27" s="250"/>
    </row>
    <row r="28" spans="1:14">
      <c r="A28" s="395"/>
      <c r="B28" s="396"/>
      <c r="C28" s="401"/>
      <c r="D28" s="402"/>
      <c r="E28" s="396"/>
      <c r="F28" s="408"/>
      <c r="G28" s="240" t="s">
        <v>848</v>
      </c>
      <c r="H28" s="240" t="s">
        <v>847</v>
      </c>
      <c r="I28" s="240">
        <v>1</v>
      </c>
      <c r="J28" s="304">
        <v>9.6</v>
      </c>
      <c r="K28" s="304">
        <v>4</v>
      </c>
      <c r="L28" s="304">
        <v>0.39500000000000002</v>
      </c>
      <c r="M28" s="334">
        <f t="shared" si="0"/>
        <v>15.17</v>
      </c>
    </row>
    <row r="29" spans="1:14">
      <c r="A29" s="395"/>
      <c r="B29" s="396"/>
      <c r="C29" s="401"/>
      <c r="D29" s="402"/>
      <c r="E29" s="396"/>
      <c r="F29" s="408"/>
      <c r="G29" s="240" t="s">
        <v>849</v>
      </c>
      <c r="H29" s="240" t="s">
        <v>847</v>
      </c>
      <c r="I29" s="240">
        <v>1</v>
      </c>
      <c r="J29" s="304">
        <v>11.48</v>
      </c>
      <c r="K29" s="304">
        <v>4</v>
      </c>
      <c r="L29" s="304">
        <v>0.39500000000000002</v>
      </c>
      <c r="M29" s="334">
        <f t="shared" si="0"/>
        <v>18.14</v>
      </c>
    </row>
    <row r="30" spans="1:14">
      <c r="A30" s="395"/>
      <c r="B30" s="397"/>
      <c r="C30" s="397"/>
      <c r="D30" s="397"/>
      <c r="E30" s="397"/>
      <c r="F30" s="397"/>
      <c r="G30" s="397"/>
      <c r="H30" s="397"/>
      <c r="I30" s="397"/>
      <c r="J30" s="397"/>
      <c r="K30" s="397"/>
      <c r="L30" s="239" t="s">
        <v>98</v>
      </c>
      <c r="M30" s="334">
        <f>ROUND(SUM(M11:M29),2)</f>
        <v>238.04</v>
      </c>
    </row>
    <row r="31" spans="1:14">
      <c r="A31" s="395"/>
      <c r="B31" s="397"/>
      <c r="C31" s="397"/>
      <c r="D31" s="397"/>
      <c r="E31" s="397"/>
      <c r="F31" s="397"/>
      <c r="G31" s="397"/>
      <c r="H31" s="397"/>
      <c r="I31" s="397"/>
      <c r="J31" s="397"/>
      <c r="K31" s="397"/>
      <c r="L31" s="397"/>
      <c r="M31" s="398"/>
    </row>
    <row r="32" spans="1:14">
      <c r="A32" s="328" t="s">
        <v>8</v>
      </c>
      <c r="B32" s="245" t="s">
        <v>811</v>
      </c>
      <c r="C32" s="245" t="s">
        <v>812</v>
      </c>
      <c r="D32" s="246" t="s">
        <v>9</v>
      </c>
      <c r="E32" s="245" t="s">
        <v>813</v>
      </c>
      <c r="F32" s="399"/>
      <c r="G32" s="303"/>
      <c r="H32" s="399" t="s">
        <v>814</v>
      </c>
      <c r="I32" s="399"/>
      <c r="J32" s="399"/>
      <c r="K32" s="399"/>
      <c r="L32" s="399"/>
      <c r="M32" s="400"/>
    </row>
    <row r="33" spans="1:13" ht="38.25">
      <c r="A33" s="395" t="s">
        <v>23</v>
      </c>
      <c r="B33" s="396" t="s">
        <v>816</v>
      </c>
      <c r="C33" s="401" t="s">
        <v>315</v>
      </c>
      <c r="D33" s="402" t="s">
        <v>850</v>
      </c>
      <c r="E33" s="396" t="s">
        <v>492</v>
      </c>
      <c r="F33" s="399"/>
      <c r="G33" s="303" t="s">
        <v>821</v>
      </c>
      <c r="H33" s="303" t="s">
        <v>822</v>
      </c>
      <c r="I33" s="239" t="s">
        <v>851</v>
      </c>
      <c r="J33" s="303" t="s">
        <v>824</v>
      </c>
      <c r="K33" s="239" t="s">
        <v>851</v>
      </c>
      <c r="L33" s="239" t="s">
        <v>826</v>
      </c>
      <c r="M33" s="333" t="s">
        <v>827</v>
      </c>
    </row>
    <row r="34" spans="1:13">
      <c r="A34" s="395"/>
      <c r="B34" s="396"/>
      <c r="C34" s="401"/>
      <c r="D34" s="402"/>
      <c r="E34" s="396"/>
      <c r="F34" s="406" t="s">
        <v>828</v>
      </c>
      <c r="G34" s="240" t="s">
        <v>829</v>
      </c>
      <c r="H34" s="240" t="s">
        <v>852</v>
      </c>
      <c r="I34" s="251">
        <v>1</v>
      </c>
      <c r="J34" s="304">
        <v>0.9</v>
      </c>
      <c r="K34" s="240">
        <f t="shared" ref="K34:K40" si="2">ROUND(J11/0.15,0)</f>
        <v>56</v>
      </c>
      <c r="L34" s="304">
        <v>0.154</v>
      </c>
      <c r="M34" s="334">
        <f t="shared" ref="M34:M52" si="3">ROUND(I34*J34*K34*L34,2)</f>
        <v>7.76</v>
      </c>
    </row>
    <row r="35" spans="1:13">
      <c r="A35" s="395"/>
      <c r="B35" s="396"/>
      <c r="C35" s="401"/>
      <c r="D35" s="402"/>
      <c r="E35" s="396"/>
      <c r="F35" s="407"/>
      <c r="G35" s="240" t="s">
        <v>831</v>
      </c>
      <c r="H35" s="240" t="s">
        <v>852</v>
      </c>
      <c r="I35" s="251">
        <v>1</v>
      </c>
      <c r="J35" s="304">
        <v>0.9</v>
      </c>
      <c r="K35" s="240">
        <f t="shared" si="2"/>
        <v>64</v>
      </c>
      <c r="L35" s="304">
        <v>0.154</v>
      </c>
      <c r="M35" s="334">
        <f t="shared" si="3"/>
        <v>8.8699999999999992</v>
      </c>
    </row>
    <row r="36" spans="1:13">
      <c r="A36" s="395"/>
      <c r="B36" s="396"/>
      <c r="C36" s="401"/>
      <c r="D36" s="402"/>
      <c r="E36" s="396"/>
      <c r="F36" s="407"/>
      <c r="G36" s="240" t="s">
        <v>832</v>
      </c>
      <c r="H36" s="240" t="s">
        <v>852</v>
      </c>
      <c r="I36" s="251">
        <v>1</v>
      </c>
      <c r="J36" s="304">
        <v>0.9</v>
      </c>
      <c r="K36" s="240">
        <f t="shared" si="2"/>
        <v>76</v>
      </c>
      <c r="L36" s="304">
        <v>0.154</v>
      </c>
      <c r="M36" s="334">
        <f t="shared" si="3"/>
        <v>10.53</v>
      </c>
    </row>
    <row r="37" spans="1:13">
      <c r="A37" s="395"/>
      <c r="B37" s="396"/>
      <c r="C37" s="401"/>
      <c r="D37" s="402"/>
      <c r="E37" s="396"/>
      <c r="F37" s="407"/>
      <c r="G37" s="240" t="s">
        <v>833</v>
      </c>
      <c r="H37" s="240" t="s">
        <v>852</v>
      </c>
      <c r="I37" s="251">
        <v>1</v>
      </c>
      <c r="J37" s="304">
        <v>0.9</v>
      </c>
      <c r="K37" s="240">
        <f t="shared" si="2"/>
        <v>24</v>
      </c>
      <c r="L37" s="304">
        <v>0.154</v>
      </c>
      <c r="M37" s="334">
        <f t="shared" si="3"/>
        <v>3.33</v>
      </c>
    </row>
    <row r="38" spans="1:13">
      <c r="A38" s="395"/>
      <c r="B38" s="396"/>
      <c r="C38" s="401"/>
      <c r="D38" s="402"/>
      <c r="E38" s="396"/>
      <c r="F38" s="407"/>
      <c r="G38" s="240" t="s">
        <v>834</v>
      </c>
      <c r="H38" s="240" t="s">
        <v>852</v>
      </c>
      <c r="I38" s="251">
        <v>1</v>
      </c>
      <c r="J38" s="304">
        <v>0.9</v>
      </c>
      <c r="K38" s="240">
        <f t="shared" si="2"/>
        <v>31</v>
      </c>
      <c r="L38" s="304">
        <v>0.154</v>
      </c>
      <c r="M38" s="334">
        <f t="shared" si="3"/>
        <v>4.3</v>
      </c>
    </row>
    <row r="39" spans="1:13">
      <c r="A39" s="395"/>
      <c r="B39" s="396"/>
      <c r="C39" s="401"/>
      <c r="D39" s="402"/>
      <c r="E39" s="396"/>
      <c r="F39" s="407"/>
      <c r="G39" s="240" t="s">
        <v>835</v>
      </c>
      <c r="H39" s="240" t="s">
        <v>852</v>
      </c>
      <c r="I39" s="251">
        <v>1</v>
      </c>
      <c r="J39" s="304">
        <v>0.9</v>
      </c>
      <c r="K39" s="240">
        <f t="shared" si="2"/>
        <v>20</v>
      </c>
      <c r="L39" s="304">
        <v>0.154</v>
      </c>
      <c r="M39" s="334">
        <f t="shared" si="3"/>
        <v>2.77</v>
      </c>
    </row>
    <row r="40" spans="1:13">
      <c r="A40" s="395"/>
      <c r="B40" s="396"/>
      <c r="C40" s="401"/>
      <c r="D40" s="402"/>
      <c r="E40" s="396"/>
      <c r="F40" s="409"/>
      <c r="G40" s="240" t="s">
        <v>836</v>
      </c>
      <c r="H40" s="240" t="s">
        <v>852</v>
      </c>
      <c r="I40" s="251">
        <v>1</v>
      </c>
      <c r="J40" s="304">
        <v>0.9</v>
      </c>
      <c r="K40" s="240">
        <f t="shared" si="2"/>
        <v>21</v>
      </c>
      <c r="L40" s="304">
        <v>1.1539999999999999</v>
      </c>
      <c r="M40" s="334">
        <f t="shared" si="3"/>
        <v>21.81</v>
      </c>
    </row>
    <row r="41" spans="1:13">
      <c r="A41" s="395"/>
      <c r="B41" s="396"/>
      <c r="C41" s="401"/>
      <c r="D41" s="402"/>
      <c r="E41" s="396"/>
      <c r="F41" s="406" t="s">
        <v>837</v>
      </c>
      <c r="G41" s="240" t="s">
        <v>885</v>
      </c>
      <c r="H41" s="240" t="s">
        <v>852</v>
      </c>
      <c r="I41" s="240">
        <v>4</v>
      </c>
      <c r="J41" s="304">
        <v>0.7</v>
      </c>
      <c r="K41" s="240">
        <f t="shared" ref="K41:K52" si="4">ROUND((J18*I18)/0.15,0)</f>
        <v>27</v>
      </c>
      <c r="L41" s="304">
        <v>0.154</v>
      </c>
      <c r="M41" s="334">
        <f t="shared" si="3"/>
        <v>11.64</v>
      </c>
    </row>
    <row r="42" spans="1:13">
      <c r="A42" s="395"/>
      <c r="B42" s="396"/>
      <c r="C42" s="401"/>
      <c r="D42" s="402"/>
      <c r="E42" s="396"/>
      <c r="F42" s="407"/>
      <c r="G42" s="240" t="s">
        <v>838</v>
      </c>
      <c r="H42" s="240" t="s">
        <v>852</v>
      </c>
      <c r="I42" s="240">
        <v>4</v>
      </c>
      <c r="J42" s="304">
        <v>0.7</v>
      </c>
      <c r="K42" s="240">
        <f t="shared" si="4"/>
        <v>69</v>
      </c>
      <c r="L42" s="304">
        <v>0.154</v>
      </c>
      <c r="M42" s="334">
        <f t="shared" si="3"/>
        <v>29.75</v>
      </c>
    </row>
    <row r="43" spans="1:13">
      <c r="A43" s="395"/>
      <c r="B43" s="396"/>
      <c r="C43" s="401"/>
      <c r="D43" s="402"/>
      <c r="E43" s="396"/>
      <c r="F43" s="407"/>
      <c r="G43" s="240" t="s">
        <v>839</v>
      </c>
      <c r="H43" s="240" t="s">
        <v>852</v>
      </c>
      <c r="I43" s="240">
        <v>1</v>
      </c>
      <c r="J43" s="304">
        <v>0.7</v>
      </c>
      <c r="K43" s="240">
        <f t="shared" si="4"/>
        <v>4</v>
      </c>
      <c r="L43" s="304">
        <v>0.154</v>
      </c>
      <c r="M43" s="334">
        <f t="shared" si="3"/>
        <v>0.43</v>
      </c>
    </row>
    <row r="44" spans="1:13">
      <c r="A44" s="395"/>
      <c r="B44" s="396"/>
      <c r="C44" s="401"/>
      <c r="D44" s="402"/>
      <c r="E44" s="396"/>
      <c r="F44" s="407"/>
      <c r="G44" s="240" t="s">
        <v>840</v>
      </c>
      <c r="H44" s="240" t="s">
        <v>852</v>
      </c>
      <c r="I44" s="240">
        <v>1</v>
      </c>
      <c r="J44" s="304">
        <v>0.7</v>
      </c>
      <c r="K44" s="240">
        <f t="shared" si="4"/>
        <v>6</v>
      </c>
      <c r="L44" s="304">
        <v>0.154</v>
      </c>
      <c r="M44" s="334">
        <f t="shared" si="3"/>
        <v>0.65</v>
      </c>
    </row>
    <row r="45" spans="1:13">
      <c r="A45" s="395"/>
      <c r="B45" s="396"/>
      <c r="C45" s="401"/>
      <c r="D45" s="402"/>
      <c r="E45" s="396"/>
      <c r="F45" s="407"/>
      <c r="G45" s="240" t="s">
        <v>883</v>
      </c>
      <c r="H45" s="240" t="s">
        <v>852</v>
      </c>
      <c r="I45" s="240">
        <v>1</v>
      </c>
      <c r="J45" s="304">
        <v>0.7</v>
      </c>
      <c r="K45" s="240">
        <f t="shared" si="4"/>
        <v>7</v>
      </c>
      <c r="L45" s="304">
        <v>1.1539999999999999</v>
      </c>
      <c r="M45" s="334">
        <f t="shared" ref="M45" si="5">ROUND(I45*J45*K45*L45,2)</f>
        <v>5.65</v>
      </c>
    </row>
    <row r="46" spans="1:13">
      <c r="A46" s="395"/>
      <c r="B46" s="396"/>
      <c r="C46" s="401"/>
      <c r="D46" s="402"/>
      <c r="E46" s="396"/>
      <c r="F46" s="407"/>
      <c r="G46" s="240" t="s">
        <v>841</v>
      </c>
      <c r="H46" s="240" t="s">
        <v>852</v>
      </c>
      <c r="I46" s="240">
        <v>1</v>
      </c>
      <c r="J46" s="304">
        <v>0.7</v>
      </c>
      <c r="K46" s="240">
        <f t="shared" si="4"/>
        <v>8</v>
      </c>
      <c r="L46" s="304">
        <v>0.154</v>
      </c>
      <c r="M46" s="334">
        <f t="shared" si="3"/>
        <v>0.86</v>
      </c>
    </row>
    <row r="47" spans="1:13">
      <c r="A47" s="395"/>
      <c r="B47" s="396"/>
      <c r="C47" s="401"/>
      <c r="D47" s="402"/>
      <c r="E47" s="396"/>
      <c r="F47" s="407"/>
      <c r="G47" s="240" t="s">
        <v>842</v>
      </c>
      <c r="H47" s="240" t="s">
        <v>852</v>
      </c>
      <c r="I47" s="240">
        <v>1</v>
      </c>
      <c r="J47" s="304">
        <v>0.7</v>
      </c>
      <c r="K47" s="240">
        <f t="shared" si="4"/>
        <v>8</v>
      </c>
      <c r="L47" s="304">
        <v>0.154</v>
      </c>
      <c r="M47" s="334">
        <f t="shared" si="3"/>
        <v>0.86</v>
      </c>
    </row>
    <row r="48" spans="1:13">
      <c r="A48" s="395"/>
      <c r="B48" s="396"/>
      <c r="C48" s="401"/>
      <c r="D48" s="402"/>
      <c r="E48" s="396"/>
      <c r="F48" s="407"/>
      <c r="G48" s="240" t="s">
        <v>843</v>
      </c>
      <c r="H48" s="240" t="s">
        <v>852</v>
      </c>
      <c r="I48" s="240">
        <v>4</v>
      </c>
      <c r="J48" s="304">
        <v>0.7</v>
      </c>
      <c r="K48" s="240">
        <f t="shared" si="4"/>
        <v>68</v>
      </c>
      <c r="L48" s="304">
        <v>0.154</v>
      </c>
      <c r="M48" s="334">
        <f t="shared" si="3"/>
        <v>29.32</v>
      </c>
    </row>
    <row r="49" spans="1:13">
      <c r="A49" s="395"/>
      <c r="B49" s="396"/>
      <c r="C49" s="401"/>
      <c r="D49" s="402"/>
      <c r="E49" s="396"/>
      <c r="F49" s="407"/>
      <c r="G49" s="240" t="s">
        <v>844</v>
      </c>
      <c r="H49" s="240" t="s">
        <v>852</v>
      </c>
      <c r="I49" s="240">
        <v>4</v>
      </c>
      <c r="J49" s="304">
        <v>0.7</v>
      </c>
      <c r="K49" s="240">
        <f t="shared" si="4"/>
        <v>27</v>
      </c>
      <c r="L49" s="304">
        <v>0.154</v>
      </c>
      <c r="M49" s="334">
        <f t="shared" si="3"/>
        <v>11.64</v>
      </c>
    </row>
    <row r="50" spans="1:13">
      <c r="A50" s="395"/>
      <c r="B50" s="396"/>
      <c r="C50" s="401"/>
      <c r="D50" s="402"/>
      <c r="E50" s="396"/>
      <c r="F50" s="408" t="s">
        <v>845</v>
      </c>
      <c r="G50" s="240" t="s">
        <v>846</v>
      </c>
      <c r="H50" s="240" t="s">
        <v>852</v>
      </c>
      <c r="I50" s="240">
        <v>1</v>
      </c>
      <c r="J50" s="304">
        <v>0.6</v>
      </c>
      <c r="K50" s="240">
        <f t="shared" si="4"/>
        <v>56</v>
      </c>
      <c r="L50" s="304">
        <v>0.154</v>
      </c>
      <c r="M50" s="334">
        <f t="shared" si="3"/>
        <v>5.17</v>
      </c>
    </row>
    <row r="51" spans="1:13">
      <c r="A51" s="395"/>
      <c r="B51" s="396"/>
      <c r="C51" s="401"/>
      <c r="D51" s="402"/>
      <c r="E51" s="396"/>
      <c r="F51" s="408"/>
      <c r="G51" s="240" t="s">
        <v>848</v>
      </c>
      <c r="H51" s="240" t="s">
        <v>852</v>
      </c>
      <c r="I51" s="240">
        <v>1</v>
      </c>
      <c r="J51" s="304">
        <v>0.6</v>
      </c>
      <c r="K51" s="240">
        <f t="shared" si="4"/>
        <v>64</v>
      </c>
      <c r="L51" s="304">
        <v>0.154</v>
      </c>
      <c r="M51" s="334">
        <f t="shared" si="3"/>
        <v>5.91</v>
      </c>
    </row>
    <row r="52" spans="1:13">
      <c r="A52" s="395"/>
      <c r="B52" s="396"/>
      <c r="C52" s="401"/>
      <c r="D52" s="402"/>
      <c r="E52" s="396"/>
      <c r="F52" s="408"/>
      <c r="G52" s="240" t="s">
        <v>849</v>
      </c>
      <c r="H52" s="240" t="s">
        <v>852</v>
      </c>
      <c r="I52" s="240">
        <v>1</v>
      </c>
      <c r="J52" s="304">
        <v>0.6</v>
      </c>
      <c r="K52" s="240">
        <f t="shared" si="4"/>
        <v>77</v>
      </c>
      <c r="L52" s="304">
        <v>0.154</v>
      </c>
      <c r="M52" s="334">
        <f t="shared" si="3"/>
        <v>7.11</v>
      </c>
    </row>
    <row r="53" spans="1:13">
      <c r="A53" s="395"/>
      <c r="B53" s="397"/>
      <c r="C53" s="397"/>
      <c r="D53" s="397"/>
      <c r="E53" s="397"/>
      <c r="F53" s="397"/>
      <c r="G53" s="397"/>
      <c r="H53" s="397"/>
      <c r="I53" s="397"/>
      <c r="J53" s="397"/>
      <c r="K53" s="397"/>
      <c r="L53" s="239" t="s">
        <v>98</v>
      </c>
      <c r="M53" s="334">
        <f>ROUND(SUM(M34:M52),2)</f>
        <v>168.36</v>
      </c>
    </row>
    <row r="54" spans="1:13">
      <c r="A54" s="395"/>
      <c r="B54" s="397"/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8"/>
    </row>
    <row r="55" spans="1:13">
      <c r="A55" s="395"/>
      <c r="B55" s="397"/>
      <c r="C55" s="397"/>
      <c r="D55" s="397"/>
      <c r="E55" s="397"/>
      <c r="F55" s="397"/>
      <c r="G55" s="397"/>
      <c r="H55" s="397"/>
      <c r="I55" s="397"/>
      <c r="J55" s="397"/>
      <c r="K55" s="397"/>
      <c r="L55" s="397"/>
      <c r="M55" s="398"/>
    </row>
    <row r="56" spans="1:13">
      <c r="A56" s="328" t="s">
        <v>8</v>
      </c>
      <c r="B56" s="245" t="s">
        <v>811</v>
      </c>
      <c r="C56" s="245" t="s">
        <v>812</v>
      </c>
      <c r="D56" s="246" t="s">
        <v>9</v>
      </c>
      <c r="E56" s="245" t="s">
        <v>813</v>
      </c>
      <c r="F56" s="399"/>
      <c r="G56" s="303"/>
      <c r="H56" s="399" t="s">
        <v>814</v>
      </c>
      <c r="I56" s="399"/>
      <c r="J56" s="399"/>
      <c r="K56" s="399"/>
      <c r="L56" s="399"/>
      <c r="M56" s="400"/>
    </row>
    <row r="57" spans="1:13">
      <c r="A57" s="395" t="s">
        <v>534</v>
      </c>
      <c r="B57" s="396" t="s">
        <v>816</v>
      </c>
      <c r="C57" s="401" t="s">
        <v>37</v>
      </c>
      <c r="D57" s="402" t="s">
        <v>423</v>
      </c>
      <c r="E57" s="396" t="s">
        <v>853</v>
      </c>
      <c r="F57" s="399"/>
      <c r="G57" s="303" t="s">
        <v>821</v>
      </c>
      <c r="H57" s="251"/>
      <c r="I57" s="251"/>
      <c r="J57" s="303" t="s">
        <v>854</v>
      </c>
      <c r="K57" s="303" t="s">
        <v>824</v>
      </c>
      <c r="L57" s="303" t="s">
        <v>855</v>
      </c>
      <c r="M57" s="333" t="s">
        <v>856</v>
      </c>
    </row>
    <row r="58" spans="1:13">
      <c r="A58" s="395"/>
      <c r="B58" s="396"/>
      <c r="C58" s="401"/>
      <c r="D58" s="402"/>
      <c r="E58" s="396"/>
      <c r="F58" s="406" t="s">
        <v>828</v>
      </c>
      <c r="G58" s="240" t="s">
        <v>829</v>
      </c>
      <c r="H58" s="251"/>
      <c r="I58" s="251"/>
      <c r="J58" s="240">
        <v>0.2</v>
      </c>
      <c r="K58" s="304">
        <v>8.4499999999999993</v>
      </c>
      <c r="L58" s="304">
        <v>0.3</v>
      </c>
      <c r="M58" s="334">
        <f t="shared" ref="M58:M76" si="6">ROUND(J58*K58*L58,2)</f>
        <v>0.51</v>
      </c>
    </row>
    <row r="59" spans="1:13">
      <c r="A59" s="395"/>
      <c r="B59" s="396"/>
      <c r="C59" s="401"/>
      <c r="D59" s="402"/>
      <c r="E59" s="396"/>
      <c r="F59" s="407"/>
      <c r="G59" s="240" t="s">
        <v>831</v>
      </c>
      <c r="H59" s="251"/>
      <c r="I59" s="251"/>
      <c r="J59" s="240">
        <v>0.2</v>
      </c>
      <c r="K59" s="304">
        <v>9.6</v>
      </c>
      <c r="L59" s="304">
        <v>0.3</v>
      </c>
      <c r="M59" s="334">
        <f t="shared" si="6"/>
        <v>0.57999999999999996</v>
      </c>
    </row>
    <row r="60" spans="1:13">
      <c r="A60" s="395"/>
      <c r="B60" s="396"/>
      <c r="C60" s="401"/>
      <c r="D60" s="402"/>
      <c r="E60" s="396"/>
      <c r="F60" s="407"/>
      <c r="G60" s="240" t="s">
        <v>832</v>
      </c>
      <c r="H60" s="251"/>
      <c r="I60" s="251"/>
      <c r="J60" s="240">
        <v>0.2</v>
      </c>
      <c r="K60" s="304">
        <v>11.45</v>
      </c>
      <c r="L60" s="304">
        <v>0.3</v>
      </c>
      <c r="M60" s="334">
        <f t="shared" si="6"/>
        <v>0.69</v>
      </c>
    </row>
    <row r="61" spans="1:13">
      <c r="A61" s="395"/>
      <c r="B61" s="396"/>
      <c r="C61" s="401"/>
      <c r="D61" s="402"/>
      <c r="E61" s="396"/>
      <c r="F61" s="407"/>
      <c r="G61" s="240" t="s">
        <v>833</v>
      </c>
      <c r="H61" s="251"/>
      <c r="I61" s="251"/>
      <c r="J61" s="240">
        <v>0.2</v>
      </c>
      <c r="K61" s="304">
        <v>3.55</v>
      </c>
      <c r="L61" s="304">
        <v>0.3</v>
      </c>
      <c r="M61" s="334">
        <f t="shared" si="6"/>
        <v>0.21</v>
      </c>
    </row>
    <row r="62" spans="1:13">
      <c r="A62" s="395"/>
      <c r="B62" s="396"/>
      <c r="C62" s="401"/>
      <c r="D62" s="402"/>
      <c r="E62" s="396"/>
      <c r="F62" s="407"/>
      <c r="G62" s="240" t="s">
        <v>834</v>
      </c>
      <c r="H62" s="251"/>
      <c r="I62" s="251"/>
      <c r="J62" s="240">
        <v>0.2</v>
      </c>
      <c r="K62" s="304">
        <v>4.7</v>
      </c>
      <c r="L62" s="304">
        <v>0.3</v>
      </c>
      <c r="M62" s="334">
        <f t="shared" si="6"/>
        <v>0.28000000000000003</v>
      </c>
    </row>
    <row r="63" spans="1:13">
      <c r="A63" s="395"/>
      <c r="B63" s="396"/>
      <c r="C63" s="401"/>
      <c r="D63" s="402"/>
      <c r="E63" s="396"/>
      <c r="F63" s="407"/>
      <c r="G63" s="240" t="s">
        <v>835</v>
      </c>
      <c r="H63" s="251"/>
      <c r="I63" s="251"/>
      <c r="J63" s="240">
        <v>0.2</v>
      </c>
      <c r="K63" s="304">
        <v>3</v>
      </c>
      <c r="L63" s="304">
        <v>0.3</v>
      </c>
      <c r="M63" s="334">
        <f t="shared" si="6"/>
        <v>0.18</v>
      </c>
    </row>
    <row r="64" spans="1:13">
      <c r="A64" s="395"/>
      <c r="B64" s="396"/>
      <c r="C64" s="401"/>
      <c r="D64" s="402"/>
      <c r="E64" s="396"/>
      <c r="F64" s="409"/>
      <c r="G64" s="240" t="s">
        <v>836</v>
      </c>
      <c r="H64" s="251"/>
      <c r="I64" s="251"/>
      <c r="J64" s="240">
        <v>0.2</v>
      </c>
      <c r="K64" s="304">
        <v>3.2</v>
      </c>
      <c r="L64" s="304">
        <v>0.3</v>
      </c>
      <c r="M64" s="334">
        <f t="shared" si="6"/>
        <v>0.19</v>
      </c>
    </row>
    <row r="65" spans="1:13">
      <c r="A65" s="395"/>
      <c r="B65" s="396"/>
      <c r="C65" s="401"/>
      <c r="D65" s="402"/>
      <c r="E65" s="396"/>
      <c r="F65" s="408" t="s">
        <v>837</v>
      </c>
      <c r="G65" s="240" t="s">
        <v>885</v>
      </c>
      <c r="H65" s="251"/>
      <c r="I65" s="240">
        <v>4</v>
      </c>
      <c r="J65" s="240">
        <v>0.15</v>
      </c>
      <c r="K65" s="304">
        <v>0.25</v>
      </c>
      <c r="L65" s="304">
        <v>1</v>
      </c>
      <c r="M65" s="334">
        <f>ROUND(J65*K65*L65*I65,2)</f>
        <v>0.15</v>
      </c>
    </row>
    <row r="66" spans="1:13">
      <c r="A66" s="395"/>
      <c r="B66" s="396"/>
      <c r="C66" s="401"/>
      <c r="D66" s="402"/>
      <c r="E66" s="396"/>
      <c r="F66" s="408"/>
      <c r="G66" s="240" t="s">
        <v>838</v>
      </c>
      <c r="H66" s="251"/>
      <c r="I66" s="240">
        <v>4</v>
      </c>
      <c r="J66" s="240">
        <v>0.15</v>
      </c>
      <c r="K66" s="304">
        <v>0.25</v>
      </c>
      <c r="L66" s="304">
        <v>2.6</v>
      </c>
      <c r="M66" s="334">
        <f t="shared" ref="M66:M73" si="7">ROUND(J66*K66*L66*I66,2)</f>
        <v>0.39</v>
      </c>
    </row>
    <row r="67" spans="1:13">
      <c r="A67" s="395"/>
      <c r="B67" s="396"/>
      <c r="C67" s="401"/>
      <c r="D67" s="402"/>
      <c r="E67" s="396"/>
      <c r="F67" s="408"/>
      <c r="G67" s="240" t="s">
        <v>839</v>
      </c>
      <c r="H67" s="251"/>
      <c r="I67" s="240">
        <v>1</v>
      </c>
      <c r="J67" s="240">
        <v>0.15</v>
      </c>
      <c r="K67" s="304">
        <v>0.25</v>
      </c>
      <c r="L67" s="304">
        <v>0.65</v>
      </c>
      <c r="M67" s="334">
        <f t="shared" si="7"/>
        <v>0.02</v>
      </c>
    </row>
    <row r="68" spans="1:13">
      <c r="A68" s="395"/>
      <c r="B68" s="396"/>
      <c r="C68" s="401"/>
      <c r="D68" s="402"/>
      <c r="E68" s="396"/>
      <c r="F68" s="408"/>
      <c r="G68" s="240" t="s">
        <v>840</v>
      </c>
      <c r="H68" s="251"/>
      <c r="I68" s="240">
        <v>1</v>
      </c>
      <c r="J68" s="240">
        <v>0.15</v>
      </c>
      <c r="K68" s="304">
        <v>0.25</v>
      </c>
      <c r="L68" s="304">
        <v>0.85</v>
      </c>
      <c r="M68" s="334">
        <f t="shared" si="7"/>
        <v>0.03</v>
      </c>
    </row>
    <row r="69" spans="1:13">
      <c r="A69" s="395"/>
      <c r="B69" s="396"/>
      <c r="C69" s="401"/>
      <c r="D69" s="402"/>
      <c r="E69" s="396"/>
      <c r="F69" s="408"/>
      <c r="G69" s="240" t="s">
        <v>883</v>
      </c>
      <c r="H69" s="251"/>
      <c r="I69" s="240">
        <v>1</v>
      </c>
      <c r="J69" s="240">
        <v>0.15</v>
      </c>
      <c r="K69" s="304">
        <v>0.25</v>
      </c>
      <c r="L69" s="304">
        <v>1.05</v>
      </c>
      <c r="M69" s="334">
        <f t="shared" ref="M69" si="8">ROUND(J69*K69*L69*I69,2)</f>
        <v>0.04</v>
      </c>
    </row>
    <row r="70" spans="1:13">
      <c r="A70" s="395"/>
      <c r="B70" s="396"/>
      <c r="C70" s="401"/>
      <c r="D70" s="402"/>
      <c r="E70" s="396"/>
      <c r="F70" s="408"/>
      <c r="G70" s="240" t="s">
        <v>841</v>
      </c>
      <c r="H70" s="251"/>
      <c r="I70" s="240">
        <v>1</v>
      </c>
      <c r="J70" s="240">
        <v>0.15</v>
      </c>
      <c r="K70" s="304">
        <v>0.25</v>
      </c>
      <c r="L70" s="304">
        <v>1.2</v>
      </c>
      <c r="M70" s="334">
        <f t="shared" si="7"/>
        <v>0.05</v>
      </c>
    </row>
    <row r="71" spans="1:13">
      <c r="A71" s="395"/>
      <c r="B71" s="396"/>
      <c r="C71" s="401"/>
      <c r="D71" s="402"/>
      <c r="E71" s="396"/>
      <c r="F71" s="408"/>
      <c r="G71" s="240" t="s">
        <v>842</v>
      </c>
      <c r="H71" s="251"/>
      <c r="I71" s="240">
        <v>1</v>
      </c>
      <c r="J71" s="240">
        <v>0.15</v>
      </c>
      <c r="K71" s="304">
        <v>0.25</v>
      </c>
      <c r="L71" s="304">
        <v>1.25</v>
      </c>
      <c r="M71" s="334">
        <f t="shared" si="7"/>
        <v>0.05</v>
      </c>
    </row>
    <row r="72" spans="1:13">
      <c r="A72" s="395"/>
      <c r="B72" s="396"/>
      <c r="C72" s="401"/>
      <c r="D72" s="402"/>
      <c r="E72" s="396"/>
      <c r="F72" s="408"/>
      <c r="G72" s="240" t="s">
        <v>843</v>
      </c>
      <c r="H72" s="251"/>
      <c r="I72" s="240">
        <v>4</v>
      </c>
      <c r="J72" s="240">
        <v>0.15</v>
      </c>
      <c r="K72" s="304">
        <v>0.25</v>
      </c>
      <c r="L72" s="304">
        <v>2.5499999999999998</v>
      </c>
      <c r="M72" s="334">
        <f t="shared" si="7"/>
        <v>0.38</v>
      </c>
    </row>
    <row r="73" spans="1:13">
      <c r="A73" s="395"/>
      <c r="B73" s="396"/>
      <c r="C73" s="401"/>
      <c r="D73" s="402"/>
      <c r="E73" s="396"/>
      <c r="F73" s="408"/>
      <c r="G73" s="240" t="s">
        <v>844</v>
      </c>
      <c r="H73" s="251"/>
      <c r="I73" s="240">
        <v>4</v>
      </c>
      <c r="J73" s="240">
        <v>0.15</v>
      </c>
      <c r="K73" s="304">
        <v>0.25</v>
      </c>
      <c r="L73" s="304">
        <v>1</v>
      </c>
      <c r="M73" s="334">
        <f t="shared" si="7"/>
        <v>0.15</v>
      </c>
    </row>
    <row r="74" spans="1:13">
      <c r="A74" s="395"/>
      <c r="B74" s="396"/>
      <c r="C74" s="401"/>
      <c r="D74" s="402"/>
      <c r="E74" s="396"/>
      <c r="F74" s="408" t="s">
        <v>845</v>
      </c>
      <c r="G74" s="240" t="s">
        <v>846</v>
      </c>
      <c r="H74" s="251"/>
      <c r="I74" s="251"/>
      <c r="J74" s="240">
        <v>0.15</v>
      </c>
      <c r="K74" s="304">
        <v>8.4499999999999993</v>
      </c>
      <c r="L74" s="304">
        <v>0.2</v>
      </c>
      <c r="M74" s="334">
        <f t="shared" si="6"/>
        <v>0.25</v>
      </c>
    </row>
    <row r="75" spans="1:13">
      <c r="A75" s="395"/>
      <c r="B75" s="396"/>
      <c r="C75" s="401"/>
      <c r="D75" s="402"/>
      <c r="E75" s="396"/>
      <c r="F75" s="408"/>
      <c r="G75" s="240" t="s">
        <v>848</v>
      </c>
      <c r="H75" s="251"/>
      <c r="I75" s="251"/>
      <c r="J75" s="240">
        <v>0.15</v>
      </c>
      <c r="K75" s="304">
        <v>9.6</v>
      </c>
      <c r="L75" s="304">
        <v>0.2</v>
      </c>
      <c r="M75" s="334">
        <f t="shared" si="6"/>
        <v>0.28999999999999998</v>
      </c>
    </row>
    <row r="76" spans="1:13">
      <c r="A76" s="395"/>
      <c r="B76" s="396"/>
      <c r="C76" s="401"/>
      <c r="D76" s="402"/>
      <c r="E76" s="396"/>
      <c r="F76" s="408"/>
      <c r="G76" s="240" t="s">
        <v>849</v>
      </c>
      <c r="H76" s="251"/>
      <c r="I76" s="251"/>
      <c r="J76" s="240">
        <v>0.15</v>
      </c>
      <c r="K76" s="304">
        <v>11.48</v>
      </c>
      <c r="L76" s="304">
        <v>0.2</v>
      </c>
      <c r="M76" s="334">
        <f t="shared" si="6"/>
        <v>0.34</v>
      </c>
    </row>
    <row r="77" spans="1:13">
      <c r="A77" s="395"/>
      <c r="B77" s="397"/>
      <c r="C77" s="397"/>
      <c r="D77" s="397"/>
      <c r="E77" s="397"/>
      <c r="F77" s="397"/>
      <c r="G77" s="397"/>
      <c r="H77" s="397"/>
      <c r="I77" s="397"/>
      <c r="J77" s="397"/>
      <c r="K77" s="397"/>
      <c r="L77" s="239" t="s">
        <v>98</v>
      </c>
      <c r="M77" s="334">
        <f>ROUND(SUM(M58:M76),2)</f>
        <v>4.78</v>
      </c>
    </row>
    <row r="78" spans="1:13">
      <c r="A78" s="395"/>
      <c r="B78" s="397"/>
      <c r="C78" s="397"/>
      <c r="D78" s="397"/>
      <c r="E78" s="397"/>
      <c r="F78" s="397"/>
      <c r="G78" s="397"/>
      <c r="H78" s="397"/>
      <c r="I78" s="397"/>
      <c r="J78" s="397"/>
      <c r="K78" s="397"/>
      <c r="L78" s="397"/>
      <c r="M78" s="398"/>
    </row>
    <row r="79" spans="1:13">
      <c r="A79" s="395"/>
      <c r="B79" s="397"/>
      <c r="C79" s="397"/>
      <c r="D79" s="397"/>
      <c r="E79" s="397"/>
      <c r="F79" s="397"/>
      <c r="G79" s="397"/>
      <c r="H79" s="397"/>
      <c r="I79" s="397"/>
      <c r="J79" s="397"/>
      <c r="K79" s="397"/>
      <c r="L79" s="397"/>
      <c r="M79" s="398"/>
    </row>
    <row r="80" spans="1:13">
      <c r="A80" s="328" t="s">
        <v>8</v>
      </c>
      <c r="B80" s="245" t="s">
        <v>811</v>
      </c>
      <c r="C80" s="245" t="s">
        <v>812</v>
      </c>
      <c r="D80" s="246" t="s">
        <v>9</v>
      </c>
      <c r="E80" s="245" t="s">
        <v>813</v>
      </c>
      <c r="F80" s="393"/>
      <c r="G80" s="302"/>
      <c r="H80" s="393" t="s">
        <v>814</v>
      </c>
      <c r="I80" s="393"/>
      <c r="J80" s="393"/>
      <c r="K80" s="393"/>
      <c r="L80" s="393"/>
      <c r="M80" s="394"/>
    </row>
    <row r="81" spans="1:13">
      <c r="A81" s="418" t="s">
        <v>89</v>
      </c>
      <c r="B81" s="421" t="s">
        <v>816</v>
      </c>
      <c r="C81" s="424" t="s">
        <v>30</v>
      </c>
      <c r="D81" s="431" t="s">
        <v>318</v>
      </c>
      <c r="E81" s="421" t="s">
        <v>857</v>
      </c>
      <c r="F81" s="393"/>
      <c r="G81" s="302" t="s">
        <v>821</v>
      </c>
      <c r="H81" s="252"/>
      <c r="I81" s="252"/>
      <c r="J81" s="302" t="s">
        <v>858</v>
      </c>
      <c r="K81" s="302" t="s">
        <v>824</v>
      </c>
      <c r="L81" s="302" t="s">
        <v>855</v>
      </c>
      <c r="M81" s="329" t="s">
        <v>859</v>
      </c>
    </row>
    <row r="82" spans="1:13">
      <c r="A82" s="419"/>
      <c r="B82" s="422"/>
      <c r="C82" s="425"/>
      <c r="D82" s="432"/>
      <c r="E82" s="422"/>
      <c r="F82" s="410" t="s">
        <v>828</v>
      </c>
      <c r="G82" s="241" t="s">
        <v>829</v>
      </c>
      <c r="H82" s="252"/>
      <c r="I82" s="252"/>
      <c r="J82" s="241">
        <v>2</v>
      </c>
      <c r="K82" s="301">
        <v>8.4499999999999993</v>
      </c>
      <c r="L82" s="301">
        <v>0.3</v>
      </c>
      <c r="M82" s="332">
        <f>ROUND(J82*K82*L82,2)</f>
        <v>5.07</v>
      </c>
    </row>
    <row r="83" spans="1:13">
      <c r="A83" s="419"/>
      <c r="B83" s="422"/>
      <c r="C83" s="425"/>
      <c r="D83" s="432"/>
      <c r="E83" s="422"/>
      <c r="F83" s="411"/>
      <c r="G83" s="241" t="s">
        <v>831</v>
      </c>
      <c r="H83" s="252"/>
      <c r="I83" s="252"/>
      <c r="J83" s="241">
        <v>2</v>
      </c>
      <c r="K83" s="301">
        <v>9.6</v>
      </c>
      <c r="L83" s="301">
        <v>0.3</v>
      </c>
      <c r="M83" s="332">
        <f t="shared" ref="M83:M88" si="9">ROUND(J83*K83*L83,2)</f>
        <v>5.76</v>
      </c>
    </row>
    <row r="84" spans="1:13">
      <c r="A84" s="419"/>
      <c r="B84" s="422"/>
      <c r="C84" s="425"/>
      <c r="D84" s="432"/>
      <c r="E84" s="422"/>
      <c r="F84" s="411"/>
      <c r="G84" s="241" t="s">
        <v>832</v>
      </c>
      <c r="H84" s="252"/>
      <c r="I84" s="252"/>
      <c r="J84" s="241">
        <v>2</v>
      </c>
      <c r="K84" s="301">
        <v>11.45</v>
      </c>
      <c r="L84" s="301">
        <v>0.3</v>
      </c>
      <c r="M84" s="332">
        <f t="shared" si="9"/>
        <v>6.87</v>
      </c>
    </row>
    <row r="85" spans="1:13">
      <c r="A85" s="419"/>
      <c r="B85" s="422"/>
      <c r="C85" s="425"/>
      <c r="D85" s="432"/>
      <c r="E85" s="422"/>
      <c r="F85" s="411"/>
      <c r="G85" s="240" t="s">
        <v>833</v>
      </c>
      <c r="H85" s="251"/>
      <c r="I85" s="251"/>
      <c r="J85" s="240">
        <v>2</v>
      </c>
      <c r="K85" s="304">
        <v>3.55</v>
      </c>
      <c r="L85" s="304">
        <v>0.3</v>
      </c>
      <c r="M85" s="334">
        <f t="shared" si="9"/>
        <v>2.13</v>
      </c>
    </row>
    <row r="86" spans="1:13">
      <c r="A86" s="419"/>
      <c r="B86" s="422"/>
      <c r="C86" s="425"/>
      <c r="D86" s="432"/>
      <c r="E86" s="422"/>
      <c r="F86" s="411"/>
      <c r="G86" s="240" t="s">
        <v>834</v>
      </c>
      <c r="H86" s="251"/>
      <c r="I86" s="251"/>
      <c r="J86" s="240">
        <v>2</v>
      </c>
      <c r="K86" s="304">
        <v>4.7</v>
      </c>
      <c r="L86" s="304">
        <v>0.3</v>
      </c>
      <c r="M86" s="334">
        <f t="shared" si="9"/>
        <v>2.82</v>
      </c>
    </row>
    <row r="87" spans="1:13">
      <c r="A87" s="419"/>
      <c r="B87" s="422"/>
      <c r="C87" s="425"/>
      <c r="D87" s="432"/>
      <c r="E87" s="422"/>
      <c r="F87" s="411"/>
      <c r="G87" s="240" t="s">
        <v>835</v>
      </c>
      <c r="H87" s="251"/>
      <c r="I87" s="251"/>
      <c r="J87" s="240">
        <v>2</v>
      </c>
      <c r="K87" s="304">
        <v>3</v>
      </c>
      <c r="L87" s="304">
        <v>0.3</v>
      </c>
      <c r="M87" s="334">
        <f t="shared" si="9"/>
        <v>1.8</v>
      </c>
    </row>
    <row r="88" spans="1:13">
      <c r="A88" s="420"/>
      <c r="B88" s="423"/>
      <c r="C88" s="426"/>
      <c r="D88" s="433"/>
      <c r="E88" s="423"/>
      <c r="F88" s="412"/>
      <c r="G88" s="240" t="s">
        <v>836</v>
      </c>
      <c r="H88" s="251"/>
      <c r="I88" s="251"/>
      <c r="J88" s="240">
        <v>2</v>
      </c>
      <c r="K88" s="304">
        <v>3.2</v>
      </c>
      <c r="L88" s="304">
        <v>0.3</v>
      </c>
      <c r="M88" s="334">
        <f t="shared" si="9"/>
        <v>1.92</v>
      </c>
    </row>
    <row r="89" spans="1:13">
      <c r="A89" s="395"/>
      <c r="B89" s="397"/>
      <c r="C89" s="397"/>
      <c r="D89" s="397"/>
      <c r="E89" s="397"/>
      <c r="F89" s="397"/>
      <c r="G89" s="397"/>
      <c r="H89" s="397"/>
      <c r="I89" s="397"/>
      <c r="J89" s="397"/>
      <c r="K89" s="397"/>
      <c r="L89" s="238" t="s">
        <v>98</v>
      </c>
      <c r="M89" s="332">
        <f>ROUND(SUM(M82:M88),2)</f>
        <v>26.37</v>
      </c>
    </row>
    <row r="90" spans="1:13">
      <c r="A90" s="395"/>
      <c r="B90" s="397"/>
      <c r="C90" s="397"/>
      <c r="D90" s="397"/>
      <c r="E90" s="397"/>
      <c r="F90" s="397"/>
      <c r="G90" s="397"/>
      <c r="H90" s="397"/>
      <c r="I90" s="397"/>
      <c r="J90" s="397"/>
      <c r="K90" s="397"/>
      <c r="L90" s="397"/>
      <c r="M90" s="398"/>
    </row>
    <row r="91" spans="1:13">
      <c r="A91" s="328" t="s">
        <v>8</v>
      </c>
      <c r="B91" s="245" t="s">
        <v>811</v>
      </c>
      <c r="C91" s="245" t="s">
        <v>812</v>
      </c>
      <c r="D91" s="246" t="s">
        <v>9</v>
      </c>
      <c r="E91" s="245" t="s">
        <v>813</v>
      </c>
      <c r="F91" s="393"/>
      <c r="G91" s="302"/>
      <c r="H91" s="393" t="s">
        <v>814</v>
      </c>
      <c r="I91" s="393"/>
      <c r="J91" s="393"/>
      <c r="K91" s="393"/>
      <c r="L91" s="393"/>
      <c r="M91" s="394"/>
    </row>
    <row r="92" spans="1:13" ht="15.75" customHeight="1">
      <c r="A92" s="395" t="s">
        <v>90</v>
      </c>
      <c r="B92" s="396" t="s">
        <v>816</v>
      </c>
      <c r="C92" s="413" t="s">
        <v>31</v>
      </c>
      <c r="D92" s="427" t="s">
        <v>317</v>
      </c>
      <c r="E92" s="396" t="s">
        <v>857</v>
      </c>
      <c r="F92" s="393"/>
      <c r="G92" s="302" t="s">
        <v>821</v>
      </c>
      <c r="H92" s="252"/>
      <c r="I92" s="252"/>
      <c r="J92" s="302" t="s">
        <v>858</v>
      </c>
      <c r="K92" s="302" t="s">
        <v>824</v>
      </c>
      <c r="L92" s="302" t="s">
        <v>855</v>
      </c>
      <c r="M92" s="329" t="s">
        <v>859</v>
      </c>
    </row>
    <row r="93" spans="1:13">
      <c r="A93" s="395"/>
      <c r="B93" s="396"/>
      <c r="C93" s="413"/>
      <c r="D93" s="427"/>
      <c r="E93" s="396"/>
      <c r="F93" s="410" t="s">
        <v>837</v>
      </c>
      <c r="G93" s="241" t="s">
        <v>885</v>
      </c>
      <c r="H93" s="252"/>
      <c r="I93" s="252">
        <v>4</v>
      </c>
      <c r="J93" s="241">
        <v>2</v>
      </c>
      <c r="K93" s="301">
        <v>0.25</v>
      </c>
      <c r="L93" s="304">
        <v>1</v>
      </c>
      <c r="M93" s="332">
        <f>ROUND(J93*K93*L93*I93,2)</f>
        <v>2</v>
      </c>
    </row>
    <row r="94" spans="1:13">
      <c r="A94" s="395"/>
      <c r="B94" s="396"/>
      <c r="C94" s="413"/>
      <c r="D94" s="427"/>
      <c r="E94" s="396"/>
      <c r="F94" s="411"/>
      <c r="G94" s="241" t="s">
        <v>838</v>
      </c>
      <c r="H94" s="252"/>
      <c r="I94" s="252">
        <v>4</v>
      </c>
      <c r="J94" s="241">
        <v>2</v>
      </c>
      <c r="K94" s="301">
        <v>0.25</v>
      </c>
      <c r="L94" s="304">
        <v>2.6</v>
      </c>
      <c r="M94" s="332">
        <f t="shared" ref="M94:M102" si="10">ROUND(J94*K94*L94*I94,2)</f>
        <v>5.2</v>
      </c>
    </row>
    <row r="95" spans="1:13">
      <c r="A95" s="395"/>
      <c r="B95" s="396"/>
      <c r="C95" s="413"/>
      <c r="D95" s="427"/>
      <c r="E95" s="396"/>
      <c r="F95" s="411"/>
      <c r="G95" s="241" t="s">
        <v>839</v>
      </c>
      <c r="H95" s="252"/>
      <c r="I95" s="252"/>
      <c r="J95" s="241">
        <v>2</v>
      </c>
      <c r="K95" s="301">
        <v>0.25</v>
      </c>
      <c r="L95" s="304">
        <v>0.65</v>
      </c>
      <c r="M95" s="332">
        <f>ROUND(J95*K95*L95,2)</f>
        <v>0.33</v>
      </c>
    </row>
    <row r="96" spans="1:13">
      <c r="A96" s="395"/>
      <c r="B96" s="396"/>
      <c r="C96" s="413"/>
      <c r="D96" s="427"/>
      <c r="E96" s="396"/>
      <c r="F96" s="411"/>
      <c r="G96" s="241" t="s">
        <v>840</v>
      </c>
      <c r="H96" s="252"/>
      <c r="I96" s="252"/>
      <c r="J96" s="241">
        <v>2</v>
      </c>
      <c r="K96" s="301">
        <v>0.25</v>
      </c>
      <c r="L96" s="304">
        <v>0.85</v>
      </c>
      <c r="M96" s="332">
        <f t="shared" ref="M96:M99" si="11">ROUND(J96*K96*L96,2)</f>
        <v>0.43</v>
      </c>
    </row>
    <row r="97" spans="1:14">
      <c r="A97" s="395"/>
      <c r="B97" s="396"/>
      <c r="C97" s="413"/>
      <c r="D97" s="427"/>
      <c r="E97" s="396"/>
      <c r="F97" s="411"/>
      <c r="G97" s="241" t="s">
        <v>883</v>
      </c>
      <c r="H97" s="252"/>
      <c r="I97" s="252"/>
      <c r="J97" s="241">
        <v>2</v>
      </c>
      <c r="K97" s="301">
        <v>0.25</v>
      </c>
      <c r="L97" s="304">
        <v>1.05</v>
      </c>
      <c r="M97" s="332">
        <f t="shared" si="11"/>
        <v>0.53</v>
      </c>
    </row>
    <row r="98" spans="1:14">
      <c r="A98" s="395"/>
      <c r="B98" s="396"/>
      <c r="C98" s="413"/>
      <c r="D98" s="427"/>
      <c r="E98" s="396"/>
      <c r="F98" s="411"/>
      <c r="G98" s="241" t="s">
        <v>841</v>
      </c>
      <c r="H98" s="252"/>
      <c r="I98" s="252"/>
      <c r="J98" s="241">
        <v>2</v>
      </c>
      <c r="K98" s="301">
        <v>0.25</v>
      </c>
      <c r="L98" s="304">
        <v>1.2</v>
      </c>
      <c r="M98" s="332">
        <f t="shared" si="11"/>
        <v>0.6</v>
      </c>
    </row>
    <row r="99" spans="1:14">
      <c r="A99" s="395"/>
      <c r="B99" s="396"/>
      <c r="C99" s="413"/>
      <c r="D99" s="427"/>
      <c r="E99" s="396"/>
      <c r="F99" s="411"/>
      <c r="G99" s="241" t="s">
        <v>842</v>
      </c>
      <c r="H99" s="252"/>
      <c r="I99" s="252"/>
      <c r="J99" s="241">
        <v>2</v>
      </c>
      <c r="K99" s="301">
        <v>0.25</v>
      </c>
      <c r="L99" s="304">
        <v>1.25</v>
      </c>
      <c r="M99" s="332">
        <f t="shared" si="11"/>
        <v>0.63</v>
      </c>
      <c r="N99" s="253"/>
    </row>
    <row r="100" spans="1:14">
      <c r="A100" s="395"/>
      <c r="B100" s="396"/>
      <c r="C100" s="413"/>
      <c r="D100" s="427"/>
      <c r="E100" s="396"/>
      <c r="F100" s="411"/>
      <c r="G100" s="240" t="s">
        <v>843</v>
      </c>
      <c r="H100" s="251"/>
      <c r="I100" s="240">
        <v>4</v>
      </c>
      <c r="J100" s="240">
        <v>2</v>
      </c>
      <c r="K100" s="304">
        <v>0.25</v>
      </c>
      <c r="L100" s="304">
        <v>2.5499999999999998</v>
      </c>
      <c r="M100" s="334">
        <f t="shared" si="10"/>
        <v>5.0999999999999996</v>
      </c>
      <c r="N100" s="253"/>
    </row>
    <row r="101" spans="1:14">
      <c r="A101" s="395"/>
      <c r="B101" s="396"/>
      <c r="C101" s="413"/>
      <c r="D101" s="427"/>
      <c r="E101" s="396"/>
      <c r="F101" s="411"/>
      <c r="G101" s="240" t="s">
        <v>892</v>
      </c>
      <c r="H101" s="251"/>
      <c r="I101" s="240">
        <v>3</v>
      </c>
      <c r="J101" s="240">
        <v>1</v>
      </c>
      <c r="K101" s="304">
        <v>0.15</v>
      </c>
      <c r="L101" s="304">
        <v>2.5499999999999998</v>
      </c>
      <c r="M101" s="334">
        <f t="shared" si="10"/>
        <v>1.1499999999999999</v>
      </c>
      <c r="N101" s="253"/>
    </row>
    <row r="102" spans="1:14">
      <c r="A102" s="395"/>
      <c r="B102" s="396"/>
      <c r="C102" s="413"/>
      <c r="D102" s="427"/>
      <c r="E102" s="396"/>
      <c r="F102" s="411"/>
      <c r="G102" s="240" t="s">
        <v>844</v>
      </c>
      <c r="H102" s="251"/>
      <c r="I102" s="240">
        <v>4</v>
      </c>
      <c r="J102" s="240">
        <v>2</v>
      </c>
      <c r="K102" s="304">
        <v>0.25</v>
      </c>
      <c r="L102" s="304">
        <v>1</v>
      </c>
      <c r="M102" s="334">
        <f t="shared" si="10"/>
        <v>2</v>
      </c>
      <c r="N102" s="253"/>
    </row>
    <row r="103" spans="1:14">
      <c r="A103" s="395"/>
      <c r="B103" s="396"/>
      <c r="C103" s="413"/>
      <c r="D103" s="427"/>
      <c r="E103" s="396"/>
      <c r="F103" s="417" t="s">
        <v>845</v>
      </c>
      <c r="G103" s="241" t="s">
        <v>846</v>
      </c>
      <c r="H103" s="252"/>
      <c r="I103" s="252"/>
      <c r="J103" s="241">
        <v>2</v>
      </c>
      <c r="K103" s="301">
        <v>8.4499999999999993</v>
      </c>
      <c r="L103" s="301">
        <v>0.2</v>
      </c>
      <c r="M103" s="332">
        <f>ROUND(J103*K103*L103,2)</f>
        <v>3.38</v>
      </c>
    </row>
    <row r="104" spans="1:14">
      <c r="A104" s="395"/>
      <c r="B104" s="396"/>
      <c r="C104" s="413"/>
      <c r="D104" s="427"/>
      <c r="E104" s="396"/>
      <c r="F104" s="417"/>
      <c r="G104" s="241" t="s">
        <v>848</v>
      </c>
      <c r="H104" s="252"/>
      <c r="I104" s="252"/>
      <c r="J104" s="241">
        <v>2</v>
      </c>
      <c r="K104" s="301">
        <v>9.6</v>
      </c>
      <c r="L104" s="301">
        <v>0.2</v>
      </c>
      <c r="M104" s="332">
        <f t="shared" ref="M104:M105" si="12">ROUND(J104*K104*L104,2)</f>
        <v>3.84</v>
      </c>
    </row>
    <row r="105" spans="1:14">
      <c r="A105" s="395"/>
      <c r="B105" s="396"/>
      <c r="C105" s="413"/>
      <c r="D105" s="427"/>
      <c r="E105" s="396"/>
      <c r="F105" s="417"/>
      <c r="G105" s="241" t="s">
        <v>849</v>
      </c>
      <c r="H105" s="252"/>
      <c r="I105" s="252"/>
      <c r="J105" s="241">
        <v>2</v>
      </c>
      <c r="K105" s="301">
        <v>11.48</v>
      </c>
      <c r="L105" s="301">
        <v>0.2</v>
      </c>
      <c r="M105" s="332">
        <f t="shared" si="12"/>
        <v>4.59</v>
      </c>
    </row>
    <row r="106" spans="1:14">
      <c r="A106" s="395"/>
      <c r="B106" s="397"/>
      <c r="C106" s="397"/>
      <c r="D106" s="397"/>
      <c r="E106" s="397"/>
      <c r="F106" s="397"/>
      <c r="G106" s="397"/>
      <c r="H106" s="397"/>
      <c r="I106" s="397"/>
      <c r="J106" s="397"/>
      <c r="K106" s="397"/>
      <c r="L106" s="238" t="s">
        <v>98</v>
      </c>
      <c r="M106" s="332">
        <f>ROUND(SUM(M93:M105),2)</f>
        <v>29.78</v>
      </c>
      <c r="N106" s="253"/>
    </row>
    <row r="107" spans="1:14">
      <c r="A107" s="428"/>
      <c r="B107" s="429"/>
      <c r="C107" s="429"/>
      <c r="D107" s="429"/>
      <c r="E107" s="429"/>
      <c r="F107" s="429"/>
      <c r="G107" s="429"/>
      <c r="H107" s="429"/>
      <c r="I107" s="429"/>
      <c r="J107" s="429"/>
      <c r="K107" s="429"/>
      <c r="L107" s="429"/>
      <c r="M107" s="430"/>
    </row>
    <row r="108" spans="1:14">
      <c r="A108" s="335"/>
      <c r="B108" s="370" t="s">
        <v>894</v>
      </c>
      <c r="C108" s="370"/>
      <c r="D108" s="370"/>
      <c r="E108" s="336"/>
      <c r="F108" s="336"/>
      <c r="G108" s="336"/>
      <c r="H108" s="336"/>
      <c r="I108" s="336"/>
      <c r="J108" s="336"/>
      <c r="K108" s="336"/>
      <c r="L108" s="336"/>
      <c r="M108" s="337"/>
    </row>
    <row r="109" spans="1:14">
      <c r="A109" s="335"/>
      <c r="B109" s="300"/>
      <c r="C109" s="6"/>
      <c r="D109" s="262"/>
      <c r="E109" s="336"/>
      <c r="F109" s="336"/>
      <c r="G109" s="336"/>
      <c r="H109" s="336"/>
      <c r="I109" s="336"/>
      <c r="J109" s="336"/>
      <c r="K109" s="336"/>
      <c r="L109" s="336"/>
      <c r="M109" s="337"/>
    </row>
    <row r="110" spans="1:14">
      <c r="A110" s="335"/>
      <c r="B110" s="300"/>
      <c r="C110" s="6"/>
      <c r="D110" s="300" t="s">
        <v>99</v>
      </c>
      <c r="E110" s="336"/>
      <c r="F110" s="336"/>
      <c r="G110" s="336"/>
      <c r="H110" s="336"/>
      <c r="I110" s="336"/>
      <c r="J110" s="336"/>
      <c r="K110" s="336"/>
      <c r="L110" s="336"/>
      <c r="M110" s="337"/>
    </row>
    <row r="111" spans="1:14">
      <c r="A111" s="335"/>
      <c r="B111" s="300"/>
      <c r="C111" s="6"/>
      <c r="D111" s="264" t="s">
        <v>515</v>
      </c>
      <c r="E111" s="336"/>
      <c r="F111" s="336"/>
      <c r="G111" s="336"/>
      <c r="H111" s="336"/>
      <c r="I111" s="336"/>
      <c r="J111" s="336"/>
      <c r="K111" s="336"/>
      <c r="L111" s="336"/>
      <c r="M111" s="337"/>
    </row>
    <row r="112" spans="1:14">
      <c r="A112" s="335"/>
      <c r="B112" s="300"/>
      <c r="C112" s="6"/>
      <c r="D112" s="264" t="s">
        <v>517</v>
      </c>
      <c r="E112" s="336"/>
      <c r="F112" s="336"/>
      <c r="G112" s="336"/>
      <c r="H112" s="336"/>
      <c r="I112" s="336"/>
      <c r="J112" s="336"/>
      <c r="K112" s="336"/>
      <c r="L112" s="336"/>
      <c r="M112" s="337"/>
    </row>
    <row r="113" spans="1:13">
      <c r="A113" s="335"/>
      <c r="B113" s="300"/>
      <c r="C113" s="6"/>
      <c r="D113" s="264" t="s">
        <v>94</v>
      </c>
      <c r="E113" s="336"/>
      <c r="F113" s="336"/>
      <c r="G113" s="336"/>
      <c r="H113" s="336"/>
      <c r="I113" s="336"/>
      <c r="J113" s="336"/>
      <c r="K113" s="336"/>
      <c r="L113" s="336"/>
      <c r="M113" s="337"/>
    </row>
    <row r="114" spans="1:13">
      <c r="A114" s="335"/>
      <c r="B114" s="300"/>
      <c r="C114" s="6"/>
      <c r="D114" s="264" t="s">
        <v>95</v>
      </c>
      <c r="E114" s="336"/>
      <c r="F114" s="336"/>
      <c r="G114" s="336"/>
      <c r="H114" s="336"/>
      <c r="I114" s="336"/>
      <c r="J114" s="336"/>
      <c r="K114" s="336"/>
      <c r="L114" s="336"/>
      <c r="M114" s="337"/>
    </row>
    <row r="115" spans="1:13" ht="15.75" thickBot="1">
      <c r="A115" s="338"/>
      <c r="B115" s="339"/>
      <c r="C115" s="339"/>
      <c r="D115" s="340"/>
      <c r="E115" s="339"/>
      <c r="F115" s="339"/>
      <c r="G115" s="339"/>
      <c r="H115" s="339"/>
      <c r="I115" s="339"/>
      <c r="J115" s="339"/>
      <c r="K115" s="339"/>
      <c r="L115" s="339"/>
      <c r="M115" s="341"/>
    </row>
  </sheetData>
  <mergeCells count="72">
    <mergeCell ref="A1:M1"/>
    <mergeCell ref="B108:D108"/>
    <mergeCell ref="F93:F102"/>
    <mergeCell ref="F103:F105"/>
    <mergeCell ref="A106:K106"/>
    <mergeCell ref="A81:A88"/>
    <mergeCell ref="B81:B88"/>
    <mergeCell ref="C81:C88"/>
    <mergeCell ref="D92:D105"/>
    <mergeCell ref="E92:E105"/>
    <mergeCell ref="A77:K77"/>
    <mergeCell ref="A78:M78"/>
    <mergeCell ref="A79:M79"/>
    <mergeCell ref="A107:M107"/>
    <mergeCell ref="D81:D88"/>
    <mergeCell ref="E81:E88"/>
    <mergeCell ref="F82:F88"/>
    <mergeCell ref="A89:K89"/>
    <mergeCell ref="A90:M90"/>
    <mergeCell ref="F91:F92"/>
    <mergeCell ref="H91:M91"/>
    <mergeCell ref="A92:A105"/>
    <mergeCell ref="B92:B105"/>
    <mergeCell ref="C92:C105"/>
    <mergeCell ref="F80:F81"/>
    <mergeCell ref="H80:M80"/>
    <mergeCell ref="A54:M54"/>
    <mergeCell ref="A55:M55"/>
    <mergeCell ref="F56:F57"/>
    <mergeCell ref="H56:M56"/>
    <mergeCell ref="A57:A76"/>
    <mergeCell ref="B57:B76"/>
    <mergeCell ref="C57:C76"/>
    <mergeCell ref="D57:D76"/>
    <mergeCell ref="E57:E76"/>
    <mergeCell ref="F58:F64"/>
    <mergeCell ref="F65:F73"/>
    <mergeCell ref="F74:F76"/>
    <mergeCell ref="A53:K53"/>
    <mergeCell ref="F11:F17"/>
    <mergeCell ref="F18:F26"/>
    <mergeCell ref="F27:F29"/>
    <mergeCell ref="A30:K30"/>
    <mergeCell ref="A31:M31"/>
    <mergeCell ref="F32:F33"/>
    <mergeCell ref="H32:M32"/>
    <mergeCell ref="A33:A52"/>
    <mergeCell ref="B33:B52"/>
    <mergeCell ref="C33:C52"/>
    <mergeCell ref="D33:D52"/>
    <mergeCell ref="E33:E52"/>
    <mergeCell ref="F34:F40"/>
    <mergeCell ref="F41:F49"/>
    <mergeCell ref="F50:F52"/>
    <mergeCell ref="A6:K6"/>
    <mergeCell ref="A7:M7"/>
    <mergeCell ref="A8:M8"/>
    <mergeCell ref="F9:F10"/>
    <mergeCell ref="H9:M9"/>
    <mergeCell ref="A10:A29"/>
    <mergeCell ref="B10:B29"/>
    <mergeCell ref="C10:C29"/>
    <mergeCell ref="D10:D29"/>
    <mergeCell ref="E10:E29"/>
    <mergeCell ref="H2:M2"/>
    <mergeCell ref="I3:J3"/>
    <mergeCell ref="K3:L3"/>
    <mergeCell ref="A4:A5"/>
    <mergeCell ref="B4:B5"/>
    <mergeCell ref="C4:C5"/>
    <mergeCell ref="D4:D5"/>
    <mergeCell ref="E4:E5"/>
  </mergeCells>
  <pageMargins left="0.511811024" right="0.511811024" top="0.78740157499999996" bottom="0.78740157499999996" header="0.31496062000000002" footer="0.31496062000000002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180"/>
  <sheetViews>
    <sheetView topLeftCell="I116" workbookViewId="0">
      <selection activeCell="P107" sqref="P107:U127"/>
    </sheetView>
  </sheetViews>
  <sheetFormatPr defaultColWidth="9.140625" defaultRowHeight="15"/>
  <cols>
    <col min="1" max="1" width="9.140625" style="144"/>
    <col min="2" max="2" width="16.42578125" style="148" bestFit="1" customWidth="1"/>
    <col min="3" max="3" width="16.42578125" style="148" customWidth="1"/>
    <col min="4" max="4" width="10" style="144" bestFit="1" customWidth="1"/>
    <col min="5" max="5" width="13.42578125" style="144" bestFit="1" customWidth="1"/>
    <col min="6" max="6" width="11.28515625" style="148" customWidth="1"/>
    <col min="7" max="8" width="9.140625" style="144"/>
    <col min="9" max="9" width="17" style="144" bestFit="1" customWidth="1"/>
    <col min="10" max="10" width="12.28515625" style="144" bestFit="1" customWidth="1"/>
    <col min="11" max="11" width="12.28515625" style="148" customWidth="1"/>
    <col min="12" max="12" width="13.140625" style="148" bestFit="1" customWidth="1"/>
    <col min="13" max="13" width="13.5703125" style="148" customWidth="1"/>
    <col min="14" max="14" width="10.7109375" style="148" customWidth="1"/>
    <col min="15" max="15" width="17" style="148" bestFit="1" customWidth="1"/>
    <col min="16" max="16" width="13.140625" style="144" bestFit="1" customWidth="1"/>
    <col min="17" max="18" width="9.140625" style="144"/>
    <col min="19" max="19" width="13.28515625" style="144" customWidth="1"/>
    <col min="20" max="20" width="13.85546875" style="144" customWidth="1"/>
    <col min="21" max="16384" width="9.140625" style="144"/>
  </cols>
  <sheetData>
    <row r="1" spans="2:28">
      <c r="B1" s="160"/>
      <c r="C1" s="160"/>
      <c r="F1" s="160"/>
      <c r="K1" s="160"/>
      <c r="L1" s="160"/>
      <c r="M1" s="160"/>
      <c r="N1" s="160"/>
      <c r="O1" s="160"/>
    </row>
    <row r="2" spans="2:28">
      <c r="B2" s="465" t="s">
        <v>761</v>
      </c>
      <c r="C2" s="466"/>
      <c r="D2" s="466"/>
      <c r="E2" s="466"/>
      <c r="F2" s="466"/>
      <c r="G2" s="467"/>
      <c r="H2" s="354"/>
      <c r="I2" s="460" t="s">
        <v>762</v>
      </c>
      <c r="J2" s="460"/>
      <c r="K2" s="460"/>
      <c r="L2" s="460"/>
      <c r="M2" s="460"/>
      <c r="N2" s="354"/>
      <c r="O2" s="462" t="s">
        <v>909</v>
      </c>
      <c r="P2" s="462"/>
      <c r="Q2" s="354"/>
      <c r="R2"/>
      <c r="S2"/>
      <c r="T2"/>
      <c r="U2"/>
      <c r="V2"/>
      <c r="W2"/>
      <c r="X2"/>
      <c r="Y2"/>
      <c r="Z2"/>
      <c r="AA2"/>
      <c r="AB2"/>
    </row>
    <row r="3" spans="2:28" ht="30">
      <c r="B3" s="355"/>
      <c r="C3" s="345" t="s">
        <v>96</v>
      </c>
      <c r="D3" s="345" t="s">
        <v>663</v>
      </c>
      <c r="E3" s="346" t="s">
        <v>664</v>
      </c>
      <c r="F3" s="346" t="s">
        <v>665</v>
      </c>
      <c r="G3" s="345" t="s">
        <v>666</v>
      </c>
      <c r="H3" s="354"/>
      <c r="I3" s="345" t="s">
        <v>96</v>
      </c>
      <c r="J3" s="345" t="s">
        <v>663</v>
      </c>
      <c r="K3" s="346" t="s">
        <v>664</v>
      </c>
      <c r="L3" s="346" t="s">
        <v>665</v>
      </c>
      <c r="M3" s="345" t="s">
        <v>666</v>
      </c>
      <c r="N3" s="354"/>
      <c r="O3" s="345" t="s">
        <v>682</v>
      </c>
      <c r="P3" s="345" t="s">
        <v>683</v>
      </c>
      <c r="Q3" s="354"/>
      <c r="R3"/>
      <c r="S3"/>
      <c r="T3"/>
      <c r="U3"/>
      <c r="V3"/>
      <c r="W3"/>
      <c r="X3"/>
      <c r="Y3"/>
      <c r="Z3"/>
      <c r="AA3"/>
      <c r="AB3"/>
    </row>
    <row r="4" spans="2:28">
      <c r="B4" s="305" t="s">
        <v>667</v>
      </c>
      <c r="C4" s="305">
        <v>1</v>
      </c>
      <c r="D4" s="343">
        <v>3</v>
      </c>
      <c r="E4" s="343">
        <v>2</v>
      </c>
      <c r="F4" s="343"/>
      <c r="G4" s="343">
        <f>(D4*E4)-F4</f>
        <v>6</v>
      </c>
      <c r="H4" s="354"/>
      <c r="I4" s="305">
        <v>1</v>
      </c>
      <c r="J4" s="353">
        <v>4.4000000000000004</v>
      </c>
      <c r="K4" s="356">
        <v>23.75</v>
      </c>
      <c r="L4" s="357">
        <f>(1.2*1.4*5)+(0.8*2.1)+(0.8*1.5*3)+(1.1*0.6*2)+(1.2*0.6*2)</f>
        <v>16.440000000000001</v>
      </c>
      <c r="M4" s="353">
        <f>(J4*K4)-L4</f>
        <v>88.060000000000016</v>
      </c>
      <c r="N4" s="354"/>
      <c r="O4" s="305" t="s">
        <v>667</v>
      </c>
      <c r="P4" s="343">
        <v>7.3</v>
      </c>
      <c r="Q4" s="354"/>
      <c r="R4"/>
      <c r="S4"/>
      <c r="T4"/>
      <c r="U4"/>
      <c r="V4"/>
      <c r="W4"/>
      <c r="X4"/>
      <c r="Y4"/>
      <c r="Z4"/>
      <c r="AA4"/>
      <c r="AB4"/>
    </row>
    <row r="5" spans="2:28">
      <c r="B5" s="355"/>
      <c r="C5" s="305">
        <v>2</v>
      </c>
      <c r="D5" s="343">
        <v>3</v>
      </c>
      <c r="E5" s="343">
        <v>3.65</v>
      </c>
      <c r="F5" s="343"/>
      <c r="G5" s="343">
        <f>(D5*E5)-F5</f>
        <v>10.95</v>
      </c>
      <c r="H5" s="354"/>
      <c r="I5" s="305">
        <v>2</v>
      </c>
      <c r="J5" s="353">
        <v>4.4000000000000004</v>
      </c>
      <c r="K5" s="357">
        <v>7.9</v>
      </c>
      <c r="L5" s="357"/>
      <c r="M5" s="353">
        <f t="shared" ref="M5:M13" si="0">(J5*K5)-L5</f>
        <v>34.760000000000005</v>
      </c>
      <c r="N5" s="354"/>
      <c r="O5" s="305" t="s">
        <v>668</v>
      </c>
      <c r="P5" s="343">
        <v>29.94</v>
      </c>
      <c r="Q5" s="354"/>
      <c r="R5"/>
      <c r="S5"/>
      <c r="T5"/>
      <c r="U5"/>
      <c r="V5"/>
      <c r="W5"/>
      <c r="X5"/>
      <c r="Y5"/>
      <c r="Z5"/>
      <c r="AA5"/>
      <c r="AB5"/>
    </row>
    <row r="6" spans="2:28">
      <c r="B6" s="355"/>
      <c r="C6" s="305">
        <v>3</v>
      </c>
      <c r="D6" s="343">
        <v>3</v>
      </c>
      <c r="E6" s="343">
        <v>2</v>
      </c>
      <c r="F6" s="343"/>
      <c r="G6" s="343">
        <f>(D6*E6)-F6</f>
        <v>6</v>
      </c>
      <c r="H6" s="354"/>
      <c r="I6" s="305">
        <v>3</v>
      </c>
      <c r="J6" s="357">
        <v>4</v>
      </c>
      <c r="K6" s="357">
        <v>12.85</v>
      </c>
      <c r="L6" s="357">
        <f>(1.8*2.1)+(1.3*2)+(2*1.5)+(3.6*2.1)</f>
        <v>16.940000000000001</v>
      </c>
      <c r="M6" s="353">
        <f t="shared" si="0"/>
        <v>34.459999999999994</v>
      </c>
      <c r="N6" s="354"/>
      <c r="O6" s="305" t="s">
        <v>671</v>
      </c>
      <c r="P6" s="343">
        <v>42.29</v>
      </c>
      <c r="Q6" s="354"/>
      <c r="R6"/>
      <c r="S6"/>
      <c r="T6"/>
      <c r="U6"/>
      <c r="V6"/>
      <c r="W6"/>
      <c r="X6"/>
      <c r="Y6"/>
      <c r="Z6"/>
      <c r="AA6"/>
      <c r="AB6"/>
    </row>
    <row r="7" spans="2:28">
      <c r="B7" s="355"/>
      <c r="C7" s="305">
        <v>4</v>
      </c>
      <c r="D7" s="343">
        <v>3</v>
      </c>
      <c r="E7" s="343">
        <v>3.65</v>
      </c>
      <c r="F7" s="343"/>
      <c r="G7" s="343">
        <f>(D7*E7)-F7</f>
        <v>10.95</v>
      </c>
      <c r="H7" s="354"/>
      <c r="I7" s="305">
        <v>4</v>
      </c>
      <c r="J7" s="357">
        <v>3</v>
      </c>
      <c r="K7" s="357">
        <v>11.15</v>
      </c>
      <c r="L7" s="357">
        <f>(0.8*2.1*2)+(1.1*1.3*2)+(0.8*0.45)</f>
        <v>6.580000000000001</v>
      </c>
      <c r="M7" s="353">
        <f t="shared" si="0"/>
        <v>26.87</v>
      </c>
      <c r="N7" s="354"/>
      <c r="O7" s="305" t="s">
        <v>674</v>
      </c>
      <c r="P7" s="343">
        <v>7</v>
      </c>
      <c r="Q7" s="354"/>
      <c r="R7"/>
      <c r="S7"/>
      <c r="T7"/>
      <c r="U7"/>
      <c r="V7"/>
      <c r="W7"/>
      <c r="X7"/>
      <c r="Y7"/>
      <c r="Z7"/>
      <c r="AA7"/>
      <c r="AB7"/>
    </row>
    <row r="8" spans="2:28">
      <c r="B8" s="434" t="s">
        <v>98</v>
      </c>
      <c r="C8" s="435"/>
      <c r="D8" s="435"/>
      <c r="E8" s="435"/>
      <c r="F8" s="436"/>
      <c r="G8" s="342">
        <f>SUM(G4:G7)</f>
        <v>33.9</v>
      </c>
      <c r="H8" s="354"/>
      <c r="I8" s="305">
        <v>5</v>
      </c>
      <c r="J8" s="357">
        <v>4</v>
      </c>
      <c r="K8" s="357">
        <v>6.05</v>
      </c>
      <c r="L8" s="357">
        <f>(0.8*2.1)+(0.9*2.1*2)</f>
        <v>5.4600000000000009</v>
      </c>
      <c r="M8" s="353">
        <f t="shared" si="0"/>
        <v>18.739999999999998</v>
      </c>
      <c r="N8" s="354"/>
      <c r="O8" s="305" t="s">
        <v>678</v>
      </c>
      <c r="P8" s="343">
        <v>13.59</v>
      </c>
      <c r="Q8" s="354"/>
      <c r="R8"/>
      <c r="S8"/>
      <c r="T8"/>
      <c r="U8"/>
      <c r="V8"/>
      <c r="W8"/>
      <c r="X8"/>
      <c r="Y8"/>
      <c r="Z8"/>
      <c r="AA8"/>
      <c r="AB8"/>
    </row>
    <row r="9" spans="2:28">
      <c r="B9" s="305" t="s">
        <v>668</v>
      </c>
      <c r="C9" s="305">
        <v>1</v>
      </c>
      <c r="D9" s="343">
        <v>3</v>
      </c>
      <c r="E9" s="343">
        <v>6.07</v>
      </c>
      <c r="F9" s="343">
        <f>(2*2.65)+(1.3*2)</f>
        <v>7.9</v>
      </c>
      <c r="G9" s="343">
        <f t="shared" ref="G9:G14" si="1">(D9*E9)-F9</f>
        <v>10.31</v>
      </c>
      <c r="H9" s="354"/>
      <c r="I9" s="305">
        <v>6</v>
      </c>
      <c r="J9" s="357">
        <v>4</v>
      </c>
      <c r="K9" s="357">
        <v>2.35</v>
      </c>
      <c r="L9" s="357"/>
      <c r="M9" s="353">
        <f t="shared" si="0"/>
        <v>9.4</v>
      </c>
      <c r="N9" s="354"/>
      <c r="O9" s="305" t="s">
        <v>679</v>
      </c>
      <c r="P9" s="343">
        <v>8.36</v>
      </c>
      <c r="Q9" s="354"/>
      <c r="R9"/>
      <c r="S9"/>
      <c r="T9"/>
      <c r="U9"/>
      <c r="V9"/>
      <c r="W9"/>
      <c r="X9"/>
      <c r="Y9"/>
      <c r="Z9"/>
      <c r="AA9"/>
      <c r="AB9"/>
    </row>
    <row r="10" spans="2:28">
      <c r="B10" s="355"/>
      <c r="C10" s="305">
        <v>2</v>
      </c>
      <c r="D10" s="343">
        <v>3</v>
      </c>
      <c r="E10" s="343">
        <v>7.4</v>
      </c>
      <c r="F10" s="343"/>
      <c r="G10" s="343">
        <f t="shared" si="1"/>
        <v>22.200000000000003</v>
      </c>
      <c r="H10" s="354"/>
      <c r="I10" s="305">
        <v>7</v>
      </c>
      <c r="J10" s="357">
        <v>0.15</v>
      </c>
      <c r="K10" s="357">
        <v>8.91</v>
      </c>
      <c r="L10" s="357"/>
      <c r="M10" s="353">
        <f t="shared" si="0"/>
        <v>1.3365</v>
      </c>
      <c r="N10" s="354"/>
      <c r="O10" s="305" t="s">
        <v>684</v>
      </c>
      <c r="P10" s="343">
        <v>12.14</v>
      </c>
      <c r="Q10" s="354"/>
      <c r="R10"/>
      <c r="S10"/>
      <c r="T10"/>
      <c r="U10"/>
      <c r="V10"/>
      <c r="W10"/>
      <c r="X10"/>
      <c r="Y10"/>
      <c r="Z10"/>
      <c r="AA10"/>
      <c r="AB10"/>
    </row>
    <row r="11" spans="2:28">
      <c r="B11" s="355"/>
      <c r="C11" s="305">
        <v>3</v>
      </c>
      <c r="D11" s="343">
        <v>3</v>
      </c>
      <c r="E11" s="343">
        <v>3</v>
      </c>
      <c r="F11" s="343"/>
      <c r="G11" s="343">
        <f t="shared" si="1"/>
        <v>9</v>
      </c>
      <c r="H11" s="354"/>
      <c r="I11" s="305" t="s">
        <v>669</v>
      </c>
      <c r="J11" s="357">
        <v>0.7</v>
      </c>
      <c r="K11" s="357">
        <v>6.6</v>
      </c>
      <c r="L11" s="357"/>
      <c r="M11" s="353">
        <f>((J11+J10)*K11)/2</f>
        <v>2.8049999999999997</v>
      </c>
      <c r="N11" s="354"/>
      <c r="O11" s="305" t="s">
        <v>680</v>
      </c>
      <c r="P11" s="343">
        <v>16.39</v>
      </c>
      <c r="Q11" s="354"/>
      <c r="R11"/>
      <c r="S11"/>
      <c r="T11"/>
      <c r="U11"/>
      <c r="V11"/>
      <c r="W11"/>
      <c r="X11"/>
      <c r="Y11"/>
      <c r="Z11"/>
      <c r="AA11"/>
      <c r="AB11"/>
    </row>
    <row r="12" spans="2:28">
      <c r="B12" s="355"/>
      <c r="C12" s="305">
        <v>4</v>
      </c>
      <c r="D12" s="343">
        <v>3</v>
      </c>
      <c r="E12" s="343">
        <v>4</v>
      </c>
      <c r="F12" s="343"/>
      <c r="G12" s="343">
        <f t="shared" si="1"/>
        <v>12</v>
      </c>
      <c r="H12" s="354"/>
      <c r="I12" s="305">
        <v>9</v>
      </c>
      <c r="J12" s="357">
        <v>0.7</v>
      </c>
      <c r="K12" s="357">
        <v>1.55</v>
      </c>
      <c r="L12" s="357"/>
      <c r="M12" s="353">
        <f t="shared" si="0"/>
        <v>1.085</v>
      </c>
      <c r="N12" s="354"/>
      <c r="O12" s="305" t="s">
        <v>681</v>
      </c>
      <c r="P12" s="343">
        <v>21.43</v>
      </c>
      <c r="Q12" s="354"/>
      <c r="R12"/>
      <c r="S12"/>
      <c r="T12"/>
      <c r="U12"/>
      <c r="V12"/>
      <c r="W12"/>
      <c r="X12"/>
      <c r="Y12"/>
      <c r="Z12"/>
      <c r="AA12"/>
      <c r="AB12"/>
    </row>
    <row r="13" spans="2:28">
      <c r="B13" s="355"/>
      <c r="C13" s="305">
        <v>5</v>
      </c>
      <c r="D13" s="343">
        <v>3</v>
      </c>
      <c r="E13" s="343">
        <v>2.35</v>
      </c>
      <c r="F13" s="355"/>
      <c r="G13" s="343">
        <f t="shared" si="1"/>
        <v>7.0500000000000007</v>
      </c>
      <c r="H13" s="354"/>
      <c r="I13" s="305">
        <v>10</v>
      </c>
      <c r="J13" s="357">
        <v>4.55</v>
      </c>
      <c r="K13" s="357">
        <v>3.19</v>
      </c>
      <c r="L13" s="357"/>
      <c r="M13" s="353">
        <f t="shared" si="0"/>
        <v>14.5145</v>
      </c>
      <c r="N13" s="354"/>
      <c r="O13" s="305" t="s">
        <v>98</v>
      </c>
      <c r="P13" s="343">
        <f>SUM(P4:P12)</f>
        <v>158.44</v>
      </c>
      <c r="Q13" s="354"/>
      <c r="R13"/>
      <c r="S13"/>
      <c r="T13"/>
      <c r="U13"/>
      <c r="V13"/>
      <c r="W13"/>
      <c r="X13"/>
      <c r="Y13"/>
      <c r="Z13"/>
      <c r="AA13"/>
      <c r="AB13"/>
    </row>
    <row r="14" spans="2:28">
      <c r="B14" s="355"/>
      <c r="C14" s="305">
        <v>6</v>
      </c>
      <c r="D14" s="343">
        <v>3</v>
      </c>
      <c r="E14" s="343">
        <v>3.55</v>
      </c>
      <c r="F14" s="355"/>
      <c r="G14" s="343">
        <f t="shared" si="1"/>
        <v>10.649999999999999</v>
      </c>
      <c r="H14" s="354"/>
      <c r="I14" s="305">
        <v>11</v>
      </c>
      <c r="J14" s="357">
        <v>0.95</v>
      </c>
      <c r="K14" s="357">
        <v>13.7</v>
      </c>
      <c r="L14" s="357"/>
      <c r="M14" s="353">
        <f>(J14*K14)-L14</f>
        <v>13.014999999999999</v>
      </c>
      <c r="N14" s="354"/>
      <c r="O14" s="354"/>
      <c r="P14" s="354"/>
      <c r="Q14" s="354"/>
      <c r="R14"/>
      <c r="S14"/>
      <c r="T14"/>
      <c r="U14"/>
      <c r="V14"/>
      <c r="W14"/>
      <c r="X14"/>
      <c r="Y14"/>
      <c r="Z14"/>
      <c r="AA14"/>
      <c r="AB14"/>
    </row>
    <row r="15" spans="2:28">
      <c r="B15" s="434" t="s">
        <v>98</v>
      </c>
      <c r="C15" s="435"/>
      <c r="D15" s="435"/>
      <c r="E15" s="435"/>
      <c r="F15" s="436"/>
      <c r="G15" s="342">
        <f>SUM(G9:G14)</f>
        <v>71.210000000000008</v>
      </c>
      <c r="H15" s="354"/>
      <c r="I15" s="305" t="s">
        <v>670</v>
      </c>
      <c r="J15" s="357">
        <v>1.5</v>
      </c>
      <c r="K15" s="357">
        <v>6.6</v>
      </c>
      <c r="L15" s="357"/>
      <c r="M15" s="353">
        <f>((J15+J14)*K15)/2</f>
        <v>8.0850000000000009</v>
      </c>
      <c r="N15" s="354"/>
      <c r="O15" s="462" t="s">
        <v>766</v>
      </c>
      <c r="P15" s="462"/>
      <c r="Q15" s="354"/>
      <c r="R15"/>
      <c r="S15"/>
      <c r="T15"/>
      <c r="U15"/>
      <c r="V15"/>
      <c r="W15"/>
      <c r="X15"/>
      <c r="Y15"/>
      <c r="Z15"/>
      <c r="AA15"/>
      <c r="AB15"/>
    </row>
    <row r="16" spans="2:28">
      <c r="B16" s="305" t="s">
        <v>671</v>
      </c>
      <c r="C16" s="305"/>
      <c r="D16" s="343"/>
      <c r="E16" s="343"/>
      <c r="F16" s="343"/>
      <c r="G16" s="343"/>
      <c r="H16" s="354"/>
      <c r="I16" s="305">
        <v>13</v>
      </c>
      <c r="J16" s="357">
        <v>1.5</v>
      </c>
      <c r="K16" s="357">
        <v>0.81</v>
      </c>
      <c r="L16" s="357"/>
      <c r="M16" s="353">
        <f>(J16*K16)-L16</f>
        <v>1.2150000000000001</v>
      </c>
      <c r="N16" s="354"/>
      <c r="O16" s="463">
        <f>P13</f>
        <v>158.44</v>
      </c>
      <c r="P16" s="464"/>
      <c r="Q16" s="354"/>
      <c r="R16"/>
      <c r="S16"/>
      <c r="T16"/>
      <c r="U16"/>
      <c r="V16"/>
      <c r="W16"/>
      <c r="X16"/>
      <c r="Y16"/>
      <c r="Z16"/>
      <c r="AA16"/>
      <c r="AB16"/>
    </row>
    <row r="17" spans="2:28">
      <c r="B17" s="355"/>
      <c r="C17" s="305"/>
      <c r="D17" s="343"/>
      <c r="E17" s="343"/>
      <c r="F17" s="343"/>
      <c r="G17" s="343"/>
      <c r="H17" s="354"/>
      <c r="I17" s="305" t="s">
        <v>672</v>
      </c>
      <c r="J17" s="357">
        <v>2.2999999999999998</v>
      </c>
      <c r="K17" s="357">
        <v>9.6</v>
      </c>
      <c r="L17" s="357"/>
      <c r="M17" s="353">
        <f>((J17+J16)*K17)/2</f>
        <v>18.239999999999998</v>
      </c>
      <c r="N17" s="354"/>
      <c r="O17" s="354"/>
      <c r="P17" s="354"/>
      <c r="Q17" s="354"/>
      <c r="R17"/>
      <c r="S17"/>
      <c r="T17"/>
      <c r="U17"/>
      <c r="V17"/>
      <c r="W17"/>
      <c r="X17"/>
      <c r="Y17"/>
      <c r="Z17"/>
      <c r="AA17"/>
      <c r="AB17"/>
    </row>
    <row r="18" spans="2:28">
      <c r="B18" s="355"/>
      <c r="C18" s="305"/>
      <c r="D18" s="343"/>
      <c r="E18" s="343"/>
      <c r="F18" s="343"/>
      <c r="G18" s="343"/>
      <c r="H18" s="354"/>
      <c r="I18" s="305">
        <v>15</v>
      </c>
      <c r="J18" s="357">
        <v>2.2999999999999998</v>
      </c>
      <c r="K18" s="357">
        <v>10.5</v>
      </c>
      <c r="L18" s="357"/>
      <c r="M18" s="353">
        <f>(J18*K18)-L18</f>
        <v>24.15</v>
      </c>
      <c r="N18" s="354"/>
      <c r="O18" s="354"/>
      <c r="P18" s="354"/>
      <c r="Q18" s="354"/>
      <c r="R18"/>
      <c r="S18"/>
      <c r="T18"/>
      <c r="U18"/>
      <c r="V18"/>
      <c r="W18"/>
      <c r="X18"/>
      <c r="Y18"/>
      <c r="Z18"/>
      <c r="AA18"/>
      <c r="AB18"/>
    </row>
    <row r="19" spans="2:28">
      <c r="B19" s="355"/>
      <c r="C19" s="305"/>
      <c r="D19" s="343"/>
      <c r="E19" s="343"/>
      <c r="F19" s="343"/>
      <c r="G19" s="343"/>
      <c r="H19" s="354"/>
      <c r="I19" s="305">
        <v>16</v>
      </c>
      <c r="J19" s="357">
        <v>0.95</v>
      </c>
      <c r="K19" s="357">
        <v>1.55</v>
      </c>
      <c r="L19" s="357"/>
      <c r="M19" s="353">
        <f>(J19*K19)-L19</f>
        <v>1.4724999999999999</v>
      </c>
      <c r="N19" s="354"/>
      <c r="O19" s="354"/>
      <c r="P19" s="354"/>
      <c r="Q19" s="354"/>
      <c r="R19"/>
      <c r="S19"/>
      <c r="T19"/>
      <c r="U19"/>
      <c r="V19"/>
      <c r="W19"/>
      <c r="X19"/>
      <c r="Y19"/>
      <c r="Z19"/>
      <c r="AA19"/>
      <c r="AB19"/>
    </row>
    <row r="20" spans="2:28">
      <c r="B20" s="355"/>
      <c r="C20" s="305"/>
      <c r="D20" s="343"/>
      <c r="E20" s="343"/>
      <c r="F20" s="355"/>
      <c r="G20" s="343"/>
      <c r="H20" s="354"/>
      <c r="I20" s="305" t="s">
        <v>673</v>
      </c>
      <c r="J20" s="357">
        <v>0.15</v>
      </c>
      <c r="K20" s="357">
        <v>9.9</v>
      </c>
      <c r="L20" s="357"/>
      <c r="M20" s="353">
        <f>((J19+J20)*K20)/2</f>
        <v>5.4449999999999994</v>
      </c>
      <c r="N20" s="354"/>
      <c r="O20" s="354"/>
      <c r="P20" s="354"/>
      <c r="Q20" s="354"/>
      <c r="R20"/>
      <c r="S20"/>
      <c r="T20"/>
      <c r="U20"/>
      <c r="V20"/>
      <c r="W20"/>
      <c r="X20"/>
      <c r="Y20"/>
      <c r="Z20"/>
      <c r="AA20"/>
      <c r="AB20"/>
    </row>
    <row r="21" spans="2:28">
      <c r="B21" s="355"/>
      <c r="C21" s="305"/>
      <c r="D21" s="343"/>
      <c r="E21" s="343"/>
      <c r="F21" s="355"/>
      <c r="G21" s="343"/>
      <c r="H21" s="354"/>
      <c r="I21" s="305">
        <v>18</v>
      </c>
      <c r="J21" s="357">
        <v>0.15</v>
      </c>
      <c r="K21" s="357">
        <v>0.16</v>
      </c>
      <c r="L21" s="357"/>
      <c r="M21" s="353">
        <f>J21*K21</f>
        <v>2.4E-2</v>
      </c>
      <c r="N21" s="354"/>
      <c r="O21" s="354"/>
      <c r="P21" s="354"/>
      <c r="Q21" s="354"/>
      <c r="R21"/>
      <c r="S21"/>
      <c r="T21"/>
      <c r="U21"/>
      <c r="V21"/>
      <c r="W21"/>
      <c r="X21"/>
      <c r="Y21"/>
      <c r="Z21"/>
      <c r="AA21"/>
      <c r="AB21"/>
    </row>
    <row r="22" spans="2:28">
      <c r="B22" s="355"/>
      <c r="C22" s="305"/>
      <c r="D22" s="343"/>
      <c r="E22" s="343"/>
      <c r="F22" s="355"/>
      <c r="G22" s="343"/>
      <c r="H22" s="354"/>
      <c r="I22" s="305">
        <v>19</v>
      </c>
      <c r="J22" s="357">
        <v>1.5</v>
      </c>
      <c r="K22" s="357">
        <v>9.9</v>
      </c>
      <c r="L22" s="357"/>
      <c r="M22" s="353">
        <f>((J22+J21)*K22)/2</f>
        <v>8.1675000000000004</v>
      </c>
      <c r="N22" s="354"/>
      <c r="O22" s="354"/>
      <c r="P22" s="354"/>
      <c r="Q22" s="354"/>
      <c r="R22"/>
      <c r="S22"/>
      <c r="T22"/>
      <c r="U22"/>
      <c r="V22"/>
      <c r="W22"/>
      <c r="X22"/>
      <c r="Y22"/>
      <c r="Z22"/>
      <c r="AA22"/>
      <c r="AB22"/>
    </row>
    <row r="23" spans="2:28">
      <c r="B23" s="355"/>
      <c r="C23" s="305">
        <v>8</v>
      </c>
      <c r="D23" s="343">
        <v>1.5</v>
      </c>
      <c r="E23" s="343">
        <v>3.7</v>
      </c>
      <c r="F23" s="355"/>
      <c r="G23" s="343">
        <f t="shared" ref="G23:G25" si="2">(D23*E23)-F23</f>
        <v>5.5500000000000007</v>
      </c>
      <c r="H23" s="354"/>
      <c r="I23" s="305">
        <v>20</v>
      </c>
      <c r="J23" s="357">
        <v>1.5</v>
      </c>
      <c r="K23" s="357">
        <v>1.55</v>
      </c>
      <c r="L23" s="357"/>
      <c r="M23" s="353">
        <f>J23*K23</f>
        <v>2.3250000000000002</v>
      </c>
      <c r="N23" s="354"/>
      <c r="O23" s="354"/>
      <c r="P23" s="354"/>
      <c r="Q23" s="354"/>
      <c r="R23"/>
      <c r="S23"/>
      <c r="T23"/>
      <c r="U23"/>
      <c r="V23"/>
      <c r="W23"/>
      <c r="X23"/>
      <c r="Y23"/>
      <c r="Z23"/>
      <c r="AA23"/>
      <c r="AB23"/>
    </row>
    <row r="24" spans="2:28">
      <c r="B24" s="355"/>
      <c r="C24" s="305">
        <v>9</v>
      </c>
      <c r="D24" s="343">
        <v>1.5</v>
      </c>
      <c r="E24" s="343">
        <v>2.95</v>
      </c>
      <c r="F24" s="343">
        <f>(1.2*1.4)*2</f>
        <v>3.36</v>
      </c>
      <c r="G24" s="343">
        <f t="shared" si="2"/>
        <v>1.0650000000000008</v>
      </c>
      <c r="H24" s="354"/>
      <c r="I24" s="305">
        <v>21</v>
      </c>
      <c r="J24" s="353">
        <v>5.85</v>
      </c>
      <c r="K24" s="357">
        <v>7.95</v>
      </c>
      <c r="L24" s="357"/>
      <c r="M24" s="353">
        <f>(J24*K24)-L24</f>
        <v>46.5075</v>
      </c>
      <c r="N24" s="354"/>
      <c r="O24" s="354"/>
      <c r="P24" s="354"/>
      <c r="Q24" s="354"/>
      <c r="R24"/>
      <c r="S24"/>
      <c r="T24"/>
      <c r="U24"/>
      <c r="V24"/>
      <c r="W24"/>
      <c r="X24"/>
      <c r="Y24"/>
      <c r="Z24"/>
      <c r="AA24"/>
      <c r="AB24"/>
    </row>
    <row r="25" spans="2:28">
      <c r="B25" s="355"/>
      <c r="C25" s="305">
        <v>10</v>
      </c>
      <c r="D25" s="343">
        <v>1.5</v>
      </c>
      <c r="E25" s="343">
        <v>7.4</v>
      </c>
      <c r="F25" s="355"/>
      <c r="G25" s="343">
        <f t="shared" si="2"/>
        <v>11.100000000000001</v>
      </c>
      <c r="H25" s="354"/>
      <c r="I25" s="305">
        <v>22</v>
      </c>
      <c r="J25" s="357">
        <v>5.35</v>
      </c>
      <c r="K25" s="357">
        <v>6.5</v>
      </c>
      <c r="L25" s="357">
        <f>6.1*2.45</f>
        <v>14.945</v>
      </c>
      <c r="M25" s="353">
        <f>(J25*K25)-L25</f>
        <v>19.829999999999998</v>
      </c>
      <c r="N25" s="354"/>
      <c r="O25" s="354"/>
      <c r="P25" s="354"/>
      <c r="Q25" s="354"/>
      <c r="R25"/>
      <c r="S25"/>
      <c r="T25"/>
      <c r="U25"/>
      <c r="V25"/>
      <c r="W25"/>
      <c r="X25"/>
      <c r="Y25"/>
      <c r="Z25"/>
      <c r="AA25"/>
      <c r="AB25"/>
    </row>
    <row r="26" spans="2:28">
      <c r="B26" s="434" t="s">
        <v>98</v>
      </c>
      <c r="C26" s="435"/>
      <c r="D26" s="435"/>
      <c r="E26" s="435"/>
      <c r="F26" s="436"/>
      <c r="G26" s="342">
        <f>SUM(G16:G25)</f>
        <v>17.715000000000003</v>
      </c>
      <c r="H26" s="354"/>
      <c r="I26" s="305">
        <v>23</v>
      </c>
      <c r="J26" s="357">
        <v>1.1000000000000001</v>
      </c>
      <c r="K26" s="357">
        <v>0.8</v>
      </c>
      <c r="L26" s="357"/>
      <c r="M26" s="353">
        <f>(J26*K26)-L26</f>
        <v>0.88000000000000012</v>
      </c>
      <c r="N26" s="354"/>
      <c r="O26" s="354"/>
      <c r="P26" s="354"/>
      <c r="Q26" s="354"/>
      <c r="R26"/>
      <c r="S26"/>
      <c r="T26"/>
      <c r="U26"/>
      <c r="V26"/>
      <c r="W26"/>
      <c r="X26"/>
      <c r="Y26"/>
      <c r="Z26"/>
      <c r="AA26"/>
      <c r="AB26"/>
    </row>
    <row r="27" spans="2:28">
      <c r="B27" s="305" t="s">
        <v>674</v>
      </c>
      <c r="C27" s="305"/>
      <c r="D27" s="343"/>
      <c r="E27" s="343"/>
      <c r="F27" s="343"/>
      <c r="G27" s="343"/>
      <c r="H27" s="354"/>
      <c r="I27" s="305" t="s">
        <v>675</v>
      </c>
      <c r="J27" s="357">
        <v>2.2999999999999998</v>
      </c>
      <c r="K27" s="357">
        <v>2.12</v>
      </c>
      <c r="L27" s="357"/>
      <c r="M27" s="353">
        <f>((J26+J27)*K27)/2</f>
        <v>3.6040000000000001</v>
      </c>
      <c r="N27" s="354"/>
      <c r="O27" s="354"/>
      <c r="P27" s="354"/>
      <c r="Q27" s="354"/>
      <c r="R27"/>
      <c r="S27"/>
      <c r="T27"/>
      <c r="U27"/>
      <c r="V27"/>
      <c r="W27"/>
      <c r="X27"/>
      <c r="Y27"/>
      <c r="Z27"/>
      <c r="AA27"/>
      <c r="AB27"/>
    </row>
    <row r="28" spans="2:28">
      <c r="B28" s="355"/>
      <c r="C28" s="305"/>
      <c r="D28" s="343"/>
      <c r="E28" s="343"/>
      <c r="F28" s="343"/>
      <c r="G28" s="343"/>
      <c r="H28" s="354"/>
      <c r="I28" s="305" t="s">
        <v>676</v>
      </c>
      <c r="J28" s="357">
        <v>2.2999999999999998</v>
      </c>
      <c r="K28" s="357">
        <v>2.3199999999999998</v>
      </c>
      <c r="L28" s="357"/>
      <c r="M28" s="353">
        <f>((J28+J26)*K28)/2</f>
        <v>3.9439999999999995</v>
      </c>
      <c r="N28" s="354"/>
      <c r="O28" s="354"/>
      <c r="P28" s="354"/>
      <c r="Q28" s="354"/>
      <c r="R28"/>
      <c r="S28"/>
      <c r="T28"/>
      <c r="U28"/>
      <c r="V28"/>
      <c r="W28"/>
      <c r="X28"/>
      <c r="Y28"/>
      <c r="Z28"/>
      <c r="AA28"/>
      <c r="AB28"/>
    </row>
    <row r="29" spans="2:28">
      <c r="B29" s="355"/>
      <c r="C29" s="305"/>
      <c r="D29" s="343"/>
      <c r="E29" s="343"/>
      <c r="F29" s="343"/>
      <c r="G29" s="343"/>
      <c r="H29" s="354"/>
      <c r="I29" s="305" t="s">
        <v>677</v>
      </c>
      <c r="J29" s="357">
        <v>5.35</v>
      </c>
      <c r="K29" s="357">
        <v>2.25</v>
      </c>
      <c r="L29" s="357"/>
      <c r="M29" s="353">
        <f>((J29+J30)*K29)/2</f>
        <v>10.518749999999999</v>
      </c>
      <c r="N29" s="354"/>
      <c r="O29" s="354"/>
      <c r="P29" s="354"/>
      <c r="Q29" s="354"/>
      <c r="R29"/>
      <c r="S29"/>
      <c r="T29"/>
      <c r="U29"/>
      <c r="V29"/>
      <c r="W29"/>
      <c r="X29"/>
      <c r="Y29"/>
      <c r="Z29"/>
      <c r="AA29"/>
      <c r="AB29"/>
    </row>
    <row r="30" spans="2:28">
      <c r="B30" s="355"/>
      <c r="C30" s="305"/>
      <c r="D30" s="343"/>
      <c r="E30" s="343"/>
      <c r="F30" s="343"/>
      <c r="G30" s="343"/>
      <c r="H30" s="354"/>
      <c r="I30" s="305">
        <v>27</v>
      </c>
      <c r="J30" s="357">
        <v>4</v>
      </c>
      <c r="K30" s="357">
        <v>4</v>
      </c>
      <c r="L30" s="357">
        <f>4*2.65</f>
        <v>10.6</v>
      </c>
      <c r="M30" s="353">
        <f>((J30*K30)-L30)*2</f>
        <v>10.8</v>
      </c>
      <c r="N30" s="354"/>
      <c r="O30" s="354"/>
      <c r="P30" s="354"/>
      <c r="Q30" s="354"/>
      <c r="R30"/>
      <c r="S30"/>
      <c r="T30"/>
      <c r="U30"/>
      <c r="V30"/>
      <c r="W30"/>
      <c r="X30"/>
      <c r="Y30"/>
      <c r="Z30"/>
      <c r="AA30"/>
      <c r="AB30"/>
    </row>
    <row r="31" spans="2:28">
      <c r="B31" s="434" t="s">
        <v>98</v>
      </c>
      <c r="C31" s="435"/>
      <c r="D31" s="435"/>
      <c r="E31" s="435"/>
      <c r="F31" s="436"/>
      <c r="G31" s="342">
        <f>SUM(G27:G30)</f>
        <v>0</v>
      </c>
      <c r="H31" s="354"/>
      <c r="I31" s="305">
        <v>28</v>
      </c>
      <c r="J31" s="357">
        <v>4.95</v>
      </c>
      <c r="K31" s="357">
        <v>2.25</v>
      </c>
      <c r="L31" s="357"/>
      <c r="M31" s="353">
        <f>((J30+J31)*K31)/2</f>
        <v>10.06875</v>
      </c>
      <c r="N31" s="354"/>
      <c r="O31" s="354"/>
      <c r="P31" s="354"/>
      <c r="Q31" s="354"/>
      <c r="R31"/>
      <c r="S31"/>
      <c r="T31"/>
      <c r="U31"/>
      <c r="V31"/>
      <c r="W31"/>
      <c r="X31"/>
      <c r="Y31"/>
      <c r="Z31"/>
      <c r="AA31"/>
      <c r="AB31"/>
    </row>
    <row r="32" spans="2:28">
      <c r="B32" s="305" t="s">
        <v>678</v>
      </c>
      <c r="C32" s="305">
        <v>1</v>
      </c>
      <c r="D32" s="343">
        <v>3</v>
      </c>
      <c r="E32" s="343">
        <v>1.52</v>
      </c>
      <c r="F32" s="343"/>
      <c r="G32" s="343">
        <f>(D32*E32)-F32</f>
        <v>4.5600000000000005</v>
      </c>
      <c r="H32" s="354"/>
      <c r="I32" s="305">
        <v>29</v>
      </c>
      <c r="J32" s="357">
        <v>4.95</v>
      </c>
      <c r="K32" s="357">
        <v>6.7</v>
      </c>
      <c r="L32" s="357">
        <f>6.1*2.45</f>
        <v>14.945</v>
      </c>
      <c r="M32" s="353">
        <f>((J30+J32)*K32)/2</f>
        <v>29.982499999999998</v>
      </c>
      <c r="N32" s="354"/>
      <c r="O32" s="354"/>
      <c r="P32" s="354"/>
      <c r="Q32" s="354"/>
      <c r="R32"/>
      <c r="S32"/>
      <c r="T32"/>
      <c r="U32"/>
      <c r="V32"/>
      <c r="W32"/>
      <c r="X32"/>
      <c r="Y32"/>
      <c r="Z32"/>
      <c r="AA32"/>
      <c r="AB32"/>
    </row>
    <row r="33" spans="2:28">
      <c r="B33" s="355"/>
      <c r="C33" s="305">
        <v>2</v>
      </c>
      <c r="D33" s="343">
        <v>3</v>
      </c>
      <c r="E33" s="343">
        <v>1.65</v>
      </c>
      <c r="F33" s="343"/>
      <c r="G33" s="343">
        <f t="shared" ref="G33:G38" si="3">(D33*E33)-F33</f>
        <v>4.9499999999999993</v>
      </c>
      <c r="H33" s="354"/>
      <c r="I33" s="305">
        <v>30</v>
      </c>
      <c r="J33" s="357">
        <v>0.4</v>
      </c>
      <c r="K33" s="357">
        <v>10.45</v>
      </c>
      <c r="L33" s="357"/>
      <c r="M33" s="353">
        <f>(J33*K33)-L33</f>
        <v>4.18</v>
      </c>
      <c r="N33" s="354"/>
      <c r="O33" s="354"/>
      <c r="P33" s="354"/>
      <c r="Q33" s="354"/>
      <c r="R33"/>
      <c r="S33"/>
      <c r="T33"/>
      <c r="U33"/>
      <c r="V33"/>
      <c r="W33"/>
      <c r="X33"/>
      <c r="Y33"/>
      <c r="Z33"/>
      <c r="AA33"/>
      <c r="AB33"/>
    </row>
    <row r="34" spans="2:28">
      <c r="B34" s="355"/>
      <c r="C34" s="305">
        <v>3</v>
      </c>
      <c r="D34" s="343">
        <v>3</v>
      </c>
      <c r="E34" s="343">
        <v>1.8</v>
      </c>
      <c r="F34" s="343"/>
      <c r="G34" s="343">
        <f t="shared" si="3"/>
        <v>5.4</v>
      </c>
      <c r="H34" s="354"/>
      <c r="I34" s="305">
        <v>31</v>
      </c>
      <c r="J34" s="357">
        <v>1.65</v>
      </c>
      <c r="K34" s="357">
        <v>11.07</v>
      </c>
      <c r="L34" s="357"/>
      <c r="M34" s="353">
        <f>(J34*K34)-L34</f>
        <v>18.265499999999999</v>
      </c>
      <c r="N34" s="354"/>
      <c r="O34" s="354"/>
      <c r="P34" s="354"/>
      <c r="Q34" s="354"/>
      <c r="R34"/>
      <c r="S34"/>
      <c r="T34"/>
      <c r="U34"/>
      <c r="V34"/>
      <c r="W34"/>
      <c r="X34"/>
      <c r="Y34"/>
      <c r="Z34"/>
      <c r="AA34"/>
      <c r="AB34"/>
    </row>
    <row r="35" spans="2:28">
      <c r="B35" s="355"/>
      <c r="C35" s="305">
        <v>4</v>
      </c>
      <c r="D35" s="343">
        <v>3</v>
      </c>
      <c r="E35" s="343">
        <v>1.51</v>
      </c>
      <c r="F35" s="343"/>
      <c r="G35" s="343">
        <f t="shared" si="3"/>
        <v>4.53</v>
      </c>
      <c r="H35" s="354"/>
      <c r="I35" s="305">
        <v>32</v>
      </c>
      <c r="J35" s="357">
        <v>3.15</v>
      </c>
      <c r="K35" s="357">
        <v>10.92</v>
      </c>
      <c r="L35" s="357"/>
      <c r="M35" s="353">
        <f>((J35+J34)*K35)/2</f>
        <v>26.207999999999998</v>
      </c>
      <c r="N35" s="354"/>
      <c r="O35" s="354"/>
      <c r="P35" s="354"/>
      <c r="Q35" s="354"/>
      <c r="R35"/>
      <c r="S35"/>
      <c r="T35"/>
      <c r="U35"/>
      <c r="V35"/>
      <c r="W35"/>
      <c r="X35"/>
      <c r="Y35"/>
      <c r="Z35"/>
      <c r="AA35"/>
      <c r="AB35"/>
    </row>
    <row r="36" spans="2:28">
      <c r="B36" s="355"/>
      <c r="C36" s="305">
        <v>5</v>
      </c>
      <c r="D36" s="343">
        <v>3</v>
      </c>
      <c r="E36" s="343">
        <v>4.3499999999999996</v>
      </c>
      <c r="F36" s="355"/>
      <c r="G36" s="343">
        <f t="shared" si="3"/>
        <v>13.049999999999999</v>
      </c>
      <c r="H36" s="354"/>
      <c r="I36" s="305">
        <v>33</v>
      </c>
      <c r="J36" s="357">
        <v>3</v>
      </c>
      <c r="K36" s="357">
        <v>24.95</v>
      </c>
      <c r="L36" s="357"/>
      <c r="M36" s="353">
        <f t="shared" ref="M36:M43" si="4">(J36*K36)-L36</f>
        <v>74.849999999999994</v>
      </c>
      <c r="N36" s="354"/>
      <c r="O36" s="354"/>
      <c r="P36" s="354"/>
      <c r="Q36" s="354"/>
      <c r="R36"/>
      <c r="S36"/>
      <c r="T36"/>
      <c r="U36"/>
      <c r="V36"/>
      <c r="W36"/>
      <c r="X36"/>
      <c r="Y36"/>
      <c r="Z36"/>
      <c r="AA36"/>
      <c r="AB36"/>
    </row>
    <row r="37" spans="2:28">
      <c r="B37" s="355"/>
      <c r="C37" s="305">
        <v>6</v>
      </c>
      <c r="D37" s="343">
        <v>3</v>
      </c>
      <c r="E37" s="343">
        <v>3.18</v>
      </c>
      <c r="F37" s="355">
        <f>(0.8*1.5)*2</f>
        <v>2.4000000000000004</v>
      </c>
      <c r="G37" s="343">
        <f t="shared" si="3"/>
        <v>7.1400000000000006</v>
      </c>
      <c r="H37" s="354"/>
      <c r="I37" s="305">
        <v>34</v>
      </c>
      <c r="J37" s="357">
        <v>3</v>
      </c>
      <c r="K37" s="357">
        <v>3</v>
      </c>
      <c r="L37" s="357"/>
      <c r="M37" s="353">
        <f t="shared" si="4"/>
        <v>9</v>
      </c>
      <c r="N37" s="354"/>
      <c r="O37" s="354"/>
      <c r="P37" s="354"/>
      <c r="Q37" s="354"/>
      <c r="R37"/>
      <c r="S37"/>
      <c r="T37"/>
      <c r="U37"/>
      <c r="V37"/>
      <c r="W37"/>
      <c r="X37"/>
      <c r="Y37"/>
      <c r="Z37"/>
      <c r="AA37"/>
      <c r="AB37"/>
    </row>
    <row r="38" spans="2:28">
      <c r="B38" s="355"/>
      <c r="C38" s="355">
        <v>7</v>
      </c>
      <c r="D38" s="343">
        <v>3</v>
      </c>
      <c r="E38" s="343">
        <v>4.3499999999999996</v>
      </c>
      <c r="F38" s="355"/>
      <c r="G38" s="343">
        <f t="shared" si="3"/>
        <v>13.049999999999999</v>
      </c>
      <c r="H38" s="354"/>
      <c r="I38" s="305">
        <v>35</v>
      </c>
      <c r="J38" s="357">
        <v>6</v>
      </c>
      <c r="K38" s="357">
        <v>2.9</v>
      </c>
      <c r="L38" s="357"/>
      <c r="M38" s="353">
        <f t="shared" si="4"/>
        <v>17.399999999999999</v>
      </c>
      <c r="N38" s="354"/>
      <c r="O38" s="354"/>
      <c r="P38" s="354"/>
      <c r="Q38" s="354"/>
      <c r="R38"/>
      <c r="S38"/>
      <c r="T38"/>
      <c r="U38"/>
      <c r="V38"/>
      <c r="W38"/>
      <c r="X38"/>
      <c r="Y38"/>
      <c r="Z38"/>
      <c r="AA38"/>
      <c r="AB38"/>
    </row>
    <row r="39" spans="2:28">
      <c r="B39" s="434" t="s">
        <v>98</v>
      </c>
      <c r="C39" s="435"/>
      <c r="D39" s="435"/>
      <c r="E39" s="435"/>
      <c r="F39" s="436"/>
      <c r="G39" s="342">
        <f>SUM(G32:G38)</f>
        <v>52.68</v>
      </c>
      <c r="H39" s="354"/>
      <c r="I39" s="305">
        <v>36</v>
      </c>
      <c r="J39" s="353">
        <v>6.5</v>
      </c>
      <c r="K39" s="357">
        <v>31.4</v>
      </c>
      <c r="L39" s="357"/>
      <c r="M39" s="353">
        <f t="shared" si="4"/>
        <v>204.1</v>
      </c>
      <c r="N39" s="354"/>
      <c r="O39" s="354"/>
      <c r="P39" s="354"/>
      <c r="Q39" s="354"/>
      <c r="R39"/>
      <c r="S39"/>
      <c r="T39"/>
      <c r="U39"/>
      <c r="V39"/>
      <c r="W39"/>
      <c r="X39"/>
      <c r="Y39"/>
      <c r="Z39"/>
      <c r="AA39"/>
      <c r="AB39"/>
    </row>
    <row r="40" spans="2:28">
      <c r="B40" s="305" t="s">
        <v>679</v>
      </c>
      <c r="C40" s="305">
        <v>1</v>
      </c>
      <c r="D40" s="343">
        <v>3</v>
      </c>
      <c r="E40" s="343">
        <v>1.52</v>
      </c>
      <c r="F40" s="343"/>
      <c r="G40" s="343">
        <f>(D40*E40)-F40</f>
        <v>4.5600000000000005</v>
      </c>
      <c r="H40" s="354"/>
      <c r="I40" s="347" t="s">
        <v>860</v>
      </c>
      <c r="J40" s="353">
        <v>0.4</v>
      </c>
      <c r="K40" s="357">
        <v>17.16</v>
      </c>
      <c r="L40" s="357"/>
      <c r="M40" s="353">
        <f t="shared" si="4"/>
        <v>6.8640000000000008</v>
      </c>
      <c r="N40" s="354"/>
      <c r="O40" s="354"/>
      <c r="P40" s="354"/>
      <c r="Q40" s="354"/>
      <c r="R40"/>
      <c r="S40"/>
      <c r="T40"/>
      <c r="U40"/>
      <c r="V40"/>
      <c r="W40"/>
      <c r="X40"/>
      <c r="Y40"/>
      <c r="Z40"/>
      <c r="AA40"/>
      <c r="AB40"/>
    </row>
    <row r="41" spans="2:28">
      <c r="B41" s="355"/>
      <c r="C41" s="305">
        <v>2</v>
      </c>
      <c r="D41" s="343">
        <v>3</v>
      </c>
      <c r="E41" s="343">
        <v>5.5</v>
      </c>
      <c r="F41" s="343"/>
      <c r="G41" s="343">
        <f>(D41*E41)-F41</f>
        <v>16.5</v>
      </c>
      <c r="H41" s="354"/>
      <c r="I41" s="305">
        <v>38</v>
      </c>
      <c r="J41" s="353">
        <v>5.35</v>
      </c>
      <c r="K41" s="357">
        <f>1.1*3</f>
        <v>3.3000000000000003</v>
      </c>
      <c r="L41" s="357"/>
      <c r="M41" s="353">
        <f t="shared" si="4"/>
        <v>17.655000000000001</v>
      </c>
      <c r="N41" s="354"/>
      <c r="O41" s="354"/>
      <c r="P41" s="354"/>
      <c r="Q41" s="354"/>
      <c r="R41"/>
      <c r="S41"/>
      <c r="T41"/>
      <c r="U41"/>
      <c r="V41"/>
      <c r="W41"/>
      <c r="X41"/>
      <c r="Y41"/>
      <c r="Z41"/>
      <c r="AA41"/>
      <c r="AB41"/>
    </row>
    <row r="42" spans="2:28">
      <c r="B42" s="355"/>
      <c r="C42" s="305">
        <v>3</v>
      </c>
      <c r="D42" s="343">
        <v>3</v>
      </c>
      <c r="E42" s="343">
        <v>1.52</v>
      </c>
      <c r="F42" s="355"/>
      <c r="G42" s="343">
        <f>(D42*E42)-F42</f>
        <v>4.5600000000000005</v>
      </c>
      <c r="H42" s="354"/>
      <c r="I42" s="305">
        <v>39</v>
      </c>
      <c r="J42" s="355">
        <v>1.35</v>
      </c>
      <c r="K42" s="355">
        <v>4.8499999999999996</v>
      </c>
      <c r="L42" s="355"/>
      <c r="M42" s="343">
        <f t="shared" si="4"/>
        <v>6.5475000000000003</v>
      </c>
      <c r="N42" s="354"/>
      <c r="O42" s="354"/>
      <c r="P42" s="354"/>
      <c r="Q42" s="354"/>
      <c r="R42"/>
      <c r="S42"/>
      <c r="T42"/>
      <c r="U42"/>
      <c r="V42"/>
      <c r="W42"/>
      <c r="X42"/>
      <c r="Y42"/>
      <c r="Z42"/>
      <c r="AA42"/>
      <c r="AB42"/>
    </row>
    <row r="43" spans="2:28">
      <c r="B43" s="355"/>
      <c r="C43" s="305">
        <v>4</v>
      </c>
      <c r="D43" s="343">
        <v>3</v>
      </c>
      <c r="E43" s="343">
        <v>5.5</v>
      </c>
      <c r="F43" s="343"/>
      <c r="G43" s="343">
        <f>(D43*E43)-F43</f>
        <v>16.5</v>
      </c>
      <c r="H43" s="354"/>
      <c r="I43" s="305">
        <v>40</v>
      </c>
      <c r="J43" s="355">
        <v>0.35</v>
      </c>
      <c r="K43" s="355">
        <v>4.8499999999999996</v>
      </c>
      <c r="L43" s="355"/>
      <c r="M43" s="343">
        <f t="shared" si="4"/>
        <v>1.6974999999999998</v>
      </c>
      <c r="N43" s="354"/>
      <c r="O43" s="354"/>
      <c r="P43" s="354"/>
      <c r="Q43" s="354"/>
      <c r="R43"/>
      <c r="S43"/>
      <c r="T43"/>
      <c r="U43"/>
      <c r="V43"/>
      <c r="W43"/>
      <c r="X43"/>
      <c r="Y43"/>
      <c r="Z43"/>
      <c r="AA43"/>
      <c r="AB43"/>
    </row>
    <row r="44" spans="2:28">
      <c r="B44" s="434" t="s">
        <v>98</v>
      </c>
      <c r="C44" s="435"/>
      <c r="D44" s="435"/>
      <c r="E44" s="435"/>
      <c r="F44" s="436"/>
      <c r="G44" s="342">
        <f>SUM(G40:G43)</f>
        <v>42.120000000000005</v>
      </c>
      <c r="H44" s="354"/>
      <c r="I44" s="305" t="s">
        <v>98</v>
      </c>
      <c r="J44" s="305"/>
      <c r="K44" s="305"/>
      <c r="L44" s="305"/>
      <c r="M44" s="342">
        <f>SUM(M4:M40)</f>
        <v>811.17300000000012</v>
      </c>
      <c r="N44" s="354"/>
      <c r="O44" s="354"/>
      <c r="P44" s="354"/>
      <c r="Q44" s="354"/>
      <c r="R44"/>
      <c r="S44"/>
      <c r="T44"/>
      <c r="U44"/>
      <c r="V44"/>
      <c r="W44"/>
      <c r="X44"/>
      <c r="Y44"/>
      <c r="Z44"/>
      <c r="AA44"/>
      <c r="AB44"/>
    </row>
    <row r="45" spans="2:28">
      <c r="B45" s="161"/>
      <c r="C45" s="161"/>
      <c r="D45" s="161"/>
      <c r="E45" s="161"/>
      <c r="F45" s="161"/>
      <c r="G45" s="162"/>
      <c r="H45" s="354"/>
      <c r="I45" s="161"/>
      <c r="J45" s="161"/>
      <c r="K45" s="161"/>
      <c r="L45" s="161"/>
      <c r="M45" s="162"/>
      <c r="N45" s="354"/>
      <c r="O45" s="354"/>
      <c r="P45" s="354"/>
      <c r="Q45" s="354"/>
      <c r="R45"/>
      <c r="S45"/>
      <c r="T45"/>
      <c r="U45"/>
      <c r="V45"/>
      <c r="W45"/>
      <c r="X45"/>
      <c r="Y45"/>
      <c r="Z45"/>
      <c r="AA45"/>
      <c r="AB45"/>
    </row>
    <row r="46" spans="2:28">
      <c r="B46" s="461" t="s">
        <v>763</v>
      </c>
      <c r="C46" s="461"/>
      <c r="D46" s="461"/>
      <c r="E46" s="461"/>
      <c r="F46" s="461"/>
      <c r="G46" s="461"/>
      <c r="H46" s="461"/>
      <c r="I46" s="461"/>
      <c r="J46" s="461"/>
      <c r="K46" s="461"/>
      <c r="L46" s="461"/>
      <c r="M46" s="461"/>
      <c r="N46" s="354"/>
      <c r="O46" s="354"/>
      <c r="P46" s="354"/>
      <c r="Q46" s="354"/>
      <c r="R46"/>
      <c r="S46"/>
      <c r="T46"/>
      <c r="U46"/>
      <c r="V46"/>
      <c r="W46"/>
      <c r="X46"/>
      <c r="Y46"/>
      <c r="Z46"/>
      <c r="AA46"/>
      <c r="AB46"/>
    </row>
    <row r="47" spans="2:28">
      <c r="B47" s="468">
        <f>G8+G15+G26+G31+G39+G44+M44</f>
        <v>1028.7980000000002</v>
      </c>
      <c r="C47" s="461"/>
      <c r="D47" s="461"/>
      <c r="E47" s="461"/>
      <c r="F47" s="461"/>
      <c r="G47" s="461"/>
      <c r="H47" s="461"/>
      <c r="I47" s="461"/>
      <c r="J47" s="461"/>
      <c r="K47" s="461"/>
      <c r="L47" s="461"/>
      <c r="M47" s="461"/>
      <c r="N47" s="354"/>
      <c r="O47" s="354"/>
      <c r="P47" s="354"/>
      <c r="Q47" s="354"/>
      <c r="R47"/>
      <c r="S47"/>
      <c r="T47"/>
      <c r="U47"/>
      <c r="V47"/>
      <c r="W47"/>
      <c r="X47"/>
      <c r="Y47"/>
      <c r="Z47"/>
      <c r="AA47"/>
      <c r="AB47"/>
    </row>
    <row r="48" spans="2:28">
      <c r="B48" s="354"/>
      <c r="C48" s="354"/>
      <c r="D48" s="354"/>
      <c r="E48" s="354"/>
      <c r="F48" s="354"/>
      <c r="G48" s="354"/>
      <c r="H48" s="354"/>
      <c r="I48" s="354"/>
      <c r="J48" s="354"/>
      <c r="K48" s="354"/>
      <c r="L48" s="354"/>
      <c r="M48" s="354"/>
      <c r="N48" s="354"/>
      <c r="O48" s="354"/>
      <c r="P48" s="354"/>
      <c r="Q48" s="354"/>
      <c r="R48"/>
      <c r="S48"/>
      <c r="T48"/>
      <c r="U48"/>
      <c r="V48"/>
      <c r="W48"/>
      <c r="X48"/>
      <c r="Y48"/>
      <c r="Z48"/>
      <c r="AA48"/>
      <c r="AB48"/>
    </row>
    <row r="49" spans="2:28">
      <c r="B49" s="354"/>
      <c r="C49" s="354"/>
      <c r="D49" s="354"/>
      <c r="E49" s="354"/>
      <c r="F49" s="354"/>
      <c r="G49" s="354"/>
      <c r="H49" s="354"/>
      <c r="I49" s="354"/>
      <c r="J49" s="354"/>
      <c r="K49" s="354"/>
      <c r="L49" s="354"/>
      <c r="M49" s="354"/>
      <c r="N49" s="354"/>
      <c r="O49" s="354"/>
      <c r="P49" s="354"/>
      <c r="Q49" s="354"/>
      <c r="R49"/>
      <c r="S49"/>
      <c r="T49"/>
      <c r="U49"/>
      <c r="V49"/>
      <c r="W49"/>
      <c r="X49"/>
      <c r="Y49"/>
      <c r="Z49"/>
      <c r="AA49"/>
      <c r="AB49"/>
    </row>
    <row r="50" spans="2:28">
      <c r="B50" s="473" t="s">
        <v>764</v>
      </c>
      <c r="C50" s="474"/>
      <c r="D50" s="474"/>
      <c r="E50" s="474"/>
      <c r="F50" s="474"/>
      <c r="G50" s="475"/>
      <c r="H50" s="354"/>
      <c r="I50" s="472" t="s">
        <v>765</v>
      </c>
      <c r="J50" s="472"/>
      <c r="K50" s="472"/>
      <c r="L50" s="472"/>
      <c r="M50" s="472"/>
      <c r="N50" s="354"/>
      <c r="O50" s="354"/>
      <c r="P50" s="354"/>
      <c r="Q50" s="358"/>
      <c r="X50"/>
      <c r="Y50"/>
      <c r="Z50"/>
      <c r="AA50"/>
      <c r="AB50"/>
    </row>
    <row r="51" spans="2:28" ht="30.75" customHeight="1">
      <c r="B51" s="355"/>
      <c r="C51" s="345" t="s">
        <v>96</v>
      </c>
      <c r="D51" s="345" t="s">
        <v>663</v>
      </c>
      <c r="E51" s="346" t="s">
        <v>664</v>
      </c>
      <c r="F51" s="346" t="s">
        <v>665</v>
      </c>
      <c r="G51" s="345" t="s">
        <v>666</v>
      </c>
      <c r="H51" s="354"/>
      <c r="I51" s="345" t="s">
        <v>96</v>
      </c>
      <c r="J51" s="345" t="s">
        <v>663</v>
      </c>
      <c r="K51" s="346" t="s">
        <v>664</v>
      </c>
      <c r="L51" s="346" t="s">
        <v>665</v>
      </c>
      <c r="M51" s="345" t="s">
        <v>666</v>
      </c>
      <c r="N51" s="354"/>
      <c r="O51" s="354"/>
      <c r="P51" s="354"/>
      <c r="Q51" s="359"/>
      <c r="X51"/>
      <c r="Y51"/>
      <c r="Z51"/>
      <c r="AA51"/>
      <c r="AB51"/>
    </row>
    <row r="52" spans="2:28">
      <c r="B52" s="305" t="s">
        <v>667</v>
      </c>
      <c r="C52" s="305">
        <v>1</v>
      </c>
      <c r="D52" s="343">
        <v>3</v>
      </c>
      <c r="E52" s="343">
        <v>2</v>
      </c>
      <c r="F52" s="343"/>
      <c r="G52" s="343">
        <f>(D52*E52)-F52</f>
        <v>6</v>
      </c>
      <c r="H52" s="354"/>
      <c r="I52" s="305">
        <v>1</v>
      </c>
      <c r="J52" s="353">
        <v>4.4000000000000004</v>
      </c>
      <c r="K52" s="356">
        <v>23.75</v>
      </c>
      <c r="L52" s="357">
        <f>(1.2*1.4*5)+(0.8*2.1)+(0.8*1.5*3)+(1.1*0.6*2)+(1.2*0.6*2)</f>
        <v>16.440000000000001</v>
      </c>
      <c r="M52" s="353">
        <f>(J52*K52)-L52</f>
        <v>88.060000000000016</v>
      </c>
      <c r="N52" s="354"/>
      <c r="O52" s="359"/>
      <c r="P52" s="360"/>
      <c r="Q52" s="360"/>
      <c r="X52"/>
      <c r="Y52"/>
      <c r="Z52"/>
      <c r="AA52"/>
      <c r="AB52"/>
    </row>
    <row r="53" spans="2:28">
      <c r="B53" s="355"/>
      <c r="C53" s="305">
        <v>2</v>
      </c>
      <c r="D53" s="343">
        <v>3</v>
      </c>
      <c r="E53" s="343">
        <v>3.65</v>
      </c>
      <c r="F53" s="343">
        <f>2.1*0.8</f>
        <v>1.6800000000000002</v>
      </c>
      <c r="G53" s="343">
        <f>(D53*E53)-F53</f>
        <v>9.27</v>
      </c>
      <c r="H53" s="354"/>
      <c r="I53" s="305">
        <v>2</v>
      </c>
      <c r="J53" s="353">
        <v>4.4000000000000004</v>
      </c>
      <c r="K53" s="357">
        <v>7.9</v>
      </c>
      <c r="L53" s="357">
        <f>0.8*2.1</f>
        <v>1.6800000000000002</v>
      </c>
      <c r="M53" s="353">
        <f t="shared" ref="M53:M57" si="5">(J53*K53)-L53</f>
        <v>33.080000000000005</v>
      </c>
      <c r="N53" s="354"/>
      <c r="O53" s="359"/>
      <c r="P53" s="360"/>
      <c r="Q53" s="360"/>
      <c r="X53"/>
      <c r="Y53"/>
      <c r="Z53"/>
      <c r="AA53"/>
      <c r="AB53"/>
    </row>
    <row r="54" spans="2:28">
      <c r="B54" s="355"/>
      <c r="C54" s="305">
        <v>3</v>
      </c>
      <c r="D54" s="343">
        <v>3</v>
      </c>
      <c r="E54" s="343">
        <v>2</v>
      </c>
      <c r="F54" s="343">
        <f>1.2*1.4</f>
        <v>1.68</v>
      </c>
      <c r="G54" s="343">
        <f>(D54*E54)-F54</f>
        <v>4.32</v>
      </c>
      <c r="H54" s="354"/>
      <c r="I54" s="305">
        <v>3</v>
      </c>
      <c r="J54" s="357">
        <v>4</v>
      </c>
      <c r="K54" s="357">
        <v>12.85</v>
      </c>
      <c r="L54" s="357">
        <f>(1.8*2.1)+(1.3*2)+(2*1.5)+(3.6*2.1)</f>
        <v>16.940000000000001</v>
      </c>
      <c r="M54" s="353">
        <f t="shared" si="5"/>
        <v>34.459999999999994</v>
      </c>
      <c r="N54" s="354"/>
      <c r="O54" s="359"/>
      <c r="P54" s="360"/>
      <c r="Q54" s="360"/>
      <c r="X54"/>
      <c r="Y54"/>
      <c r="Z54"/>
      <c r="AA54"/>
      <c r="AB54"/>
    </row>
    <row r="55" spans="2:28">
      <c r="B55" s="355"/>
      <c r="C55" s="305">
        <v>4</v>
      </c>
      <c r="D55" s="343">
        <v>3</v>
      </c>
      <c r="E55" s="343">
        <v>3.65</v>
      </c>
      <c r="F55" s="343"/>
      <c r="G55" s="343">
        <f>(D55*E55)-F55</f>
        <v>10.95</v>
      </c>
      <c r="H55" s="354"/>
      <c r="I55" s="305">
        <v>4</v>
      </c>
      <c r="J55" s="357">
        <v>3</v>
      </c>
      <c r="K55" s="357">
        <v>11.15</v>
      </c>
      <c r="L55" s="357">
        <f>(0.8*2.1*2)+(1.1*1.3*2)+(0.8*0.45)</f>
        <v>6.580000000000001</v>
      </c>
      <c r="M55" s="353">
        <f t="shared" si="5"/>
        <v>26.87</v>
      </c>
      <c r="N55" s="354"/>
      <c r="O55" s="359"/>
      <c r="P55" s="360"/>
      <c r="Q55" s="360"/>
      <c r="X55"/>
      <c r="Y55"/>
      <c r="Z55"/>
      <c r="AA55"/>
      <c r="AB55"/>
    </row>
    <row r="56" spans="2:28">
      <c r="B56" s="434" t="s">
        <v>98</v>
      </c>
      <c r="C56" s="435"/>
      <c r="D56" s="435"/>
      <c r="E56" s="435"/>
      <c r="F56" s="436"/>
      <c r="G56" s="342">
        <f>SUM(G52:G55)</f>
        <v>30.54</v>
      </c>
      <c r="H56" s="354"/>
      <c r="I56" s="305">
        <v>5</v>
      </c>
      <c r="J56" s="357">
        <v>4</v>
      </c>
      <c r="K56" s="357">
        <v>6.05</v>
      </c>
      <c r="L56" s="357">
        <f>(0.8*2.1)+(0.9*2.1*2)</f>
        <v>5.4600000000000009</v>
      </c>
      <c r="M56" s="353">
        <f t="shared" si="5"/>
        <v>18.739999999999998</v>
      </c>
      <c r="N56" s="354"/>
      <c r="O56" s="359"/>
      <c r="P56" s="360"/>
      <c r="Q56" s="360"/>
      <c r="X56"/>
      <c r="Y56"/>
      <c r="Z56"/>
      <c r="AA56"/>
      <c r="AB56"/>
    </row>
    <row r="57" spans="2:28">
      <c r="B57" s="305" t="s">
        <v>668</v>
      </c>
      <c r="C57" s="305">
        <v>1</v>
      </c>
      <c r="D57" s="343">
        <v>3</v>
      </c>
      <c r="E57" s="343">
        <v>6.07</v>
      </c>
      <c r="F57" s="343">
        <f>(2*2.65)+(1.3*2)</f>
        <v>7.9</v>
      </c>
      <c r="G57" s="343">
        <f t="shared" ref="G57:G62" si="6">(D57*E57)-F57</f>
        <v>10.31</v>
      </c>
      <c r="H57" s="354"/>
      <c r="I57" s="305">
        <v>6</v>
      </c>
      <c r="J57" s="357">
        <v>4</v>
      </c>
      <c r="K57" s="357">
        <v>2.35</v>
      </c>
      <c r="L57" s="357"/>
      <c r="M57" s="353">
        <f t="shared" si="5"/>
        <v>9.4</v>
      </c>
      <c r="N57" s="354"/>
      <c r="O57" s="359"/>
      <c r="P57" s="360"/>
      <c r="Q57" s="360"/>
      <c r="X57"/>
      <c r="Y57"/>
      <c r="Z57"/>
      <c r="AA57"/>
      <c r="AB57"/>
    </row>
    <row r="58" spans="2:28">
      <c r="B58" s="355"/>
      <c r="C58" s="305">
        <v>2</v>
      </c>
      <c r="D58" s="343">
        <v>3</v>
      </c>
      <c r="E58" s="343">
        <v>7.4</v>
      </c>
      <c r="F58" s="343"/>
      <c r="G58" s="343">
        <f t="shared" si="6"/>
        <v>22.200000000000003</v>
      </c>
      <c r="H58" s="354"/>
      <c r="I58" s="305">
        <v>11</v>
      </c>
      <c r="J58" s="357">
        <v>0.95</v>
      </c>
      <c r="K58" s="357">
        <v>13.7</v>
      </c>
      <c r="L58" s="357"/>
      <c r="M58" s="353">
        <f>(J58*K58)-L58</f>
        <v>13.014999999999999</v>
      </c>
      <c r="N58" s="354"/>
      <c r="O58" s="359"/>
      <c r="P58" s="360"/>
      <c r="Q58" s="360"/>
      <c r="X58"/>
      <c r="Y58"/>
      <c r="Z58"/>
      <c r="AA58"/>
      <c r="AB58"/>
    </row>
    <row r="59" spans="2:28">
      <c r="B59" s="355"/>
      <c r="C59" s="305">
        <v>3</v>
      </c>
      <c r="D59" s="343">
        <v>3</v>
      </c>
      <c r="E59" s="343">
        <v>3</v>
      </c>
      <c r="F59" s="343">
        <f>(1.2*1.4)</f>
        <v>1.68</v>
      </c>
      <c r="G59" s="343">
        <f t="shared" si="6"/>
        <v>7.32</v>
      </c>
      <c r="H59" s="354"/>
      <c r="I59" s="305">
        <v>21</v>
      </c>
      <c r="J59" s="353">
        <v>5.85</v>
      </c>
      <c r="K59" s="357">
        <v>7.95</v>
      </c>
      <c r="L59" s="357"/>
      <c r="M59" s="353">
        <f>(J59*K59)-L59</f>
        <v>46.5075</v>
      </c>
      <c r="N59" s="354"/>
      <c r="O59" s="359"/>
      <c r="P59" s="360"/>
      <c r="Q59" s="360"/>
      <c r="X59"/>
      <c r="Y59"/>
      <c r="Z59"/>
      <c r="AA59"/>
      <c r="AB59"/>
    </row>
    <row r="60" spans="2:28">
      <c r="B60" s="355"/>
      <c r="C60" s="305">
        <v>4</v>
      </c>
      <c r="D60" s="343">
        <v>3</v>
      </c>
      <c r="E60" s="343">
        <v>4</v>
      </c>
      <c r="F60" s="343"/>
      <c r="G60" s="343">
        <f t="shared" si="6"/>
        <v>12</v>
      </c>
      <c r="H60" s="354"/>
      <c r="I60" s="305">
        <v>22</v>
      </c>
      <c r="J60" s="357">
        <v>5.35</v>
      </c>
      <c r="K60" s="357">
        <v>6.5</v>
      </c>
      <c r="L60" s="357">
        <f>6.1*2.45</f>
        <v>14.945</v>
      </c>
      <c r="M60" s="353">
        <f>(J60*K60)-L60</f>
        <v>19.829999999999998</v>
      </c>
      <c r="N60" s="354"/>
      <c r="O60" s="359"/>
      <c r="P60" s="360"/>
      <c r="Q60" s="360"/>
      <c r="X60"/>
      <c r="Y60"/>
      <c r="Z60"/>
      <c r="AA60"/>
      <c r="AB60"/>
    </row>
    <row r="61" spans="2:28">
      <c r="B61" s="355"/>
      <c r="C61" s="305">
        <v>5</v>
      </c>
      <c r="D61" s="343">
        <v>3</v>
      </c>
      <c r="E61" s="343">
        <v>2.35</v>
      </c>
      <c r="F61" s="355"/>
      <c r="G61" s="343">
        <f t="shared" si="6"/>
        <v>7.0500000000000007</v>
      </c>
      <c r="H61" s="354"/>
      <c r="I61" s="305">
        <v>23</v>
      </c>
      <c r="J61" s="357">
        <v>1.1000000000000001</v>
      </c>
      <c r="K61" s="357">
        <v>0.8</v>
      </c>
      <c r="L61" s="357"/>
      <c r="M61" s="353">
        <f>(J61*K61)-L61</f>
        <v>0.88000000000000012</v>
      </c>
      <c r="N61" s="354"/>
      <c r="O61" s="359"/>
      <c r="P61" s="360"/>
      <c r="Q61" s="360"/>
      <c r="X61"/>
      <c r="Y61"/>
      <c r="Z61"/>
      <c r="AA61"/>
      <c r="AB61"/>
    </row>
    <row r="62" spans="2:28">
      <c r="B62" s="355"/>
      <c r="C62" s="305">
        <v>6</v>
      </c>
      <c r="D62" s="343">
        <v>3</v>
      </c>
      <c r="E62" s="343">
        <v>3.55</v>
      </c>
      <c r="F62" s="355"/>
      <c r="G62" s="343">
        <f t="shared" si="6"/>
        <v>10.649999999999999</v>
      </c>
      <c r="H62" s="354"/>
      <c r="I62" s="305" t="s">
        <v>675</v>
      </c>
      <c r="J62" s="357">
        <v>2.2999999999999998</v>
      </c>
      <c r="K62" s="357">
        <v>2.12</v>
      </c>
      <c r="L62" s="357"/>
      <c r="M62" s="353">
        <f>((J61+J62)*K62)/2</f>
        <v>3.6040000000000001</v>
      </c>
      <c r="N62" s="354"/>
      <c r="O62" s="359"/>
      <c r="P62" s="360"/>
      <c r="Q62" s="360"/>
      <c r="X62"/>
      <c r="Y62"/>
      <c r="Z62"/>
      <c r="AA62"/>
      <c r="AB62"/>
    </row>
    <row r="63" spans="2:28">
      <c r="B63" s="434" t="s">
        <v>98</v>
      </c>
      <c r="C63" s="435"/>
      <c r="D63" s="435"/>
      <c r="E63" s="435"/>
      <c r="F63" s="436"/>
      <c r="G63" s="342">
        <f>SUM(G57:G62)</f>
        <v>69.53</v>
      </c>
      <c r="H63" s="354"/>
      <c r="I63" s="305" t="s">
        <v>676</v>
      </c>
      <c r="J63" s="357">
        <v>2.2999999999999998</v>
      </c>
      <c r="K63" s="357">
        <v>2.3199999999999998</v>
      </c>
      <c r="L63" s="357"/>
      <c r="M63" s="353">
        <f>((J63+J61)*K63)/2</f>
        <v>3.9439999999999995</v>
      </c>
      <c r="N63" s="354"/>
      <c r="O63" s="359"/>
      <c r="P63" s="360"/>
      <c r="Q63" s="360"/>
      <c r="X63"/>
      <c r="Y63"/>
      <c r="Z63"/>
      <c r="AA63"/>
      <c r="AB63"/>
    </row>
    <row r="64" spans="2:28">
      <c r="B64" s="305" t="s">
        <v>671</v>
      </c>
      <c r="C64" s="305">
        <v>1</v>
      </c>
      <c r="D64" s="343">
        <v>3</v>
      </c>
      <c r="E64" s="343">
        <v>7.35</v>
      </c>
      <c r="F64" s="343">
        <f>(2*1.1)+(3.9*2.65)</f>
        <v>12.535</v>
      </c>
      <c r="G64" s="343">
        <f>(D64*E64)-F64</f>
        <v>9.514999999999997</v>
      </c>
      <c r="H64" s="354"/>
      <c r="I64" s="305" t="s">
        <v>677</v>
      </c>
      <c r="J64" s="357">
        <v>5.35</v>
      </c>
      <c r="K64" s="357">
        <v>2.25</v>
      </c>
      <c r="L64" s="357"/>
      <c r="M64" s="353">
        <f>((J64+J65)*K64)/2</f>
        <v>10.518749999999999</v>
      </c>
      <c r="N64" s="354"/>
      <c r="O64" s="359"/>
      <c r="P64" s="360"/>
      <c r="Q64" s="354"/>
      <c r="X64"/>
      <c r="Y64"/>
      <c r="Z64"/>
      <c r="AA64"/>
      <c r="AB64"/>
    </row>
    <row r="65" spans="2:28">
      <c r="B65" s="355"/>
      <c r="C65" s="305">
        <v>2</v>
      </c>
      <c r="D65" s="343">
        <v>1.4</v>
      </c>
      <c r="E65" s="343">
        <v>7.4</v>
      </c>
      <c r="F65" s="343"/>
      <c r="G65" s="343">
        <f t="shared" ref="G65:G71" si="7">(D65*E65)-F65</f>
        <v>10.36</v>
      </c>
      <c r="H65" s="354"/>
      <c r="I65" s="305">
        <v>27</v>
      </c>
      <c r="J65" s="357">
        <v>4</v>
      </c>
      <c r="K65" s="357">
        <v>4</v>
      </c>
      <c r="L65" s="357">
        <f>4*2.65</f>
        <v>10.6</v>
      </c>
      <c r="M65" s="353">
        <f>((J65*K65)-L65)*2</f>
        <v>10.8</v>
      </c>
      <c r="N65" s="354"/>
      <c r="O65" s="359"/>
      <c r="P65" s="360"/>
      <c r="Q65" s="354"/>
      <c r="X65"/>
      <c r="Y65"/>
      <c r="Z65"/>
      <c r="AA65"/>
      <c r="AB65"/>
    </row>
    <row r="66" spans="2:28">
      <c r="B66" s="355"/>
      <c r="C66" s="305">
        <v>3</v>
      </c>
      <c r="D66" s="343">
        <v>3</v>
      </c>
      <c r="E66" s="343">
        <v>0.9</v>
      </c>
      <c r="F66" s="343">
        <f>2.1*0.8</f>
        <v>1.6800000000000002</v>
      </c>
      <c r="G66" s="343">
        <f t="shared" si="7"/>
        <v>1.02</v>
      </c>
      <c r="H66" s="354"/>
      <c r="I66" s="305">
        <v>28</v>
      </c>
      <c r="J66" s="357">
        <v>4.95</v>
      </c>
      <c r="K66" s="357">
        <v>2.25</v>
      </c>
      <c r="L66" s="357"/>
      <c r="M66" s="353">
        <f>((J65+J66)*K66)/2</f>
        <v>10.06875</v>
      </c>
      <c r="N66" s="354"/>
      <c r="O66" s="359"/>
      <c r="P66" s="360"/>
      <c r="Q66" s="354"/>
      <c r="X66"/>
      <c r="Y66"/>
      <c r="Z66"/>
      <c r="AA66"/>
      <c r="AB66"/>
    </row>
    <row r="67" spans="2:28">
      <c r="B67" s="355"/>
      <c r="C67" s="305">
        <v>4</v>
      </c>
      <c r="D67" s="343">
        <v>1.4</v>
      </c>
      <c r="E67" s="343">
        <v>2.7</v>
      </c>
      <c r="F67" s="343">
        <f>2.1*0.8</f>
        <v>1.6800000000000002</v>
      </c>
      <c r="G67" s="343">
        <f t="shared" si="7"/>
        <v>2.0999999999999996</v>
      </c>
      <c r="H67" s="354"/>
      <c r="I67" s="305">
        <v>29</v>
      </c>
      <c r="J67" s="357">
        <v>4.95</v>
      </c>
      <c r="K67" s="357">
        <v>6.7</v>
      </c>
      <c r="L67" s="357">
        <f>6.1*2.45</f>
        <v>14.945</v>
      </c>
      <c r="M67" s="353">
        <f>((J65+J67)*K67)/2</f>
        <v>29.982499999999998</v>
      </c>
      <c r="N67" s="354"/>
      <c r="O67" s="354"/>
      <c r="P67" s="354"/>
      <c r="Q67" s="354"/>
      <c r="X67"/>
      <c r="Y67"/>
      <c r="Z67"/>
      <c r="AA67"/>
      <c r="AB67"/>
    </row>
    <row r="68" spans="2:28">
      <c r="B68" s="355"/>
      <c r="C68" s="305">
        <v>5</v>
      </c>
      <c r="D68" s="343">
        <v>1.4</v>
      </c>
      <c r="E68" s="343">
        <v>3</v>
      </c>
      <c r="F68" s="355"/>
      <c r="G68" s="343">
        <f t="shared" si="7"/>
        <v>4.1999999999999993</v>
      </c>
      <c r="H68" s="354"/>
      <c r="I68" s="305">
        <v>30</v>
      </c>
      <c r="J68" s="357">
        <v>0.4</v>
      </c>
      <c r="K68" s="357">
        <v>10.45</v>
      </c>
      <c r="L68" s="357"/>
      <c r="M68" s="357">
        <f>(J68*K68)-L68</f>
        <v>4.18</v>
      </c>
      <c r="N68" s="354"/>
      <c r="O68" s="354"/>
      <c r="P68" s="354"/>
      <c r="Q68" s="354"/>
      <c r="X68"/>
      <c r="Y68"/>
      <c r="Z68"/>
      <c r="AA68"/>
      <c r="AB68"/>
    </row>
    <row r="69" spans="2:28">
      <c r="B69" s="355"/>
      <c r="C69" s="305">
        <v>8</v>
      </c>
      <c r="D69" s="343">
        <v>3</v>
      </c>
      <c r="E69" s="343">
        <v>3.7</v>
      </c>
      <c r="F69" s="355"/>
      <c r="G69" s="343">
        <f t="shared" si="7"/>
        <v>11.100000000000001</v>
      </c>
      <c r="H69" s="354"/>
      <c r="I69" s="305">
        <v>31</v>
      </c>
      <c r="J69" s="357">
        <v>1.65</v>
      </c>
      <c r="K69" s="357">
        <v>11.07</v>
      </c>
      <c r="L69" s="357"/>
      <c r="M69" s="357">
        <f>(J69*K69)-L69</f>
        <v>18.265499999999999</v>
      </c>
      <c r="N69" s="354"/>
      <c r="O69" s="354"/>
      <c r="P69" s="354"/>
      <c r="Q69" s="354"/>
      <c r="X69"/>
      <c r="Y69"/>
      <c r="Z69"/>
      <c r="AA69"/>
      <c r="AB69"/>
    </row>
    <row r="70" spans="2:28">
      <c r="B70" s="355"/>
      <c r="C70" s="305">
        <v>9</v>
      </c>
      <c r="D70" s="343">
        <v>3</v>
      </c>
      <c r="E70" s="343">
        <v>2.95</v>
      </c>
      <c r="F70" s="343">
        <f>(1.2*1.4)*2</f>
        <v>3.36</v>
      </c>
      <c r="G70" s="343">
        <f t="shared" si="7"/>
        <v>5.490000000000002</v>
      </c>
      <c r="H70" s="354"/>
      <c r="I70" s="305">
        <v>32</v>
      </c>
      <c r="J70" s="357">
        <v>3.15</v>
      </c>
      <c r="K70" s="357">
        <v>10.92</v>
      </c>
      <c r="L70" s="357"/>
      <c r="M70" s="357">
        <f>((J70+J69)*K70)/2</f>
        <v>26.207999999999998</v>
      </c>
      <c r="N70" s="354"/>
      <c r="O70" s="354"/>
      <c r="P70" s="354"/>
      <c r="Q70" s="354"/>
      <c r="X70"/>
      <c r="Y70"/>
      <c r="Z70"/>
      <c r="AA70"/>
      <c r="AB70"/>
    </row>
    <row r="71" spans="2:28">
      <c r="B71" s="355"/>
      <c r="C71" s="305">
        <v>10</v>
      </c>
      <c r="D71" s="343">
        <v>3</v>
      </c>
      <c r="E71" s="343">
        <v>7.4</v>
      </c>
      <c r="F71" s="355"/>
      <c r="G71" s="343">
        <f t="shared" si="7"/>
        <v>22.200000000000003</v>
      </c>
      <c r="H71" s="354"/>
      <c r="I71" s="305">
        <v>33</v>
      </c>
      <c r="J71" s="357">
        <v>3</v>
      </c>
      <c r="K71" s="357">
        <v>24.95</v>
      </c>
      <c r="L71" s="357"/>
      <c r="M71" s="357">
        <f t="shared" ref="M71:M77" si="8">(J71*K71)-L71</f>
        <v>74.849999999999994</v>
      </c>
      <c r="N71" s="354"/>
      <c r="O71" s="354"/>
      <c r="P71" s="354"/>
      <c r="Q71" s="354"/>
      <c r="R71"/>
      <c r="S71"/>
      <c r="T71"/>
      <c r="U71"/>
      <c r="V71"/>
      <c r="W71"/>
      <c r="X71"/>
      <c r="Y71"/>
      <c r="Z71"/>
      <c r="AA71"/>
      <c r="AB71"/>
    </row>
    <row r="72" spans="2:28">
      <c r="B72" s="434" t="s">
        <v>98</v>
      </c>
      <c r="C72" s="435"/>
      <c r="D72" s="435"/>
      <c r="E72" s="435"/>
      <c r="F72" s="436"/>
      <c r="G72" s="342">
        <f>SUM(G64:G71)</f>
        <v>65.985000000000014</v>
      </c>
      <c r="H72" s="354"/>
      <c r="I72" s="305">
        <v>34</v>
      </c>
      <c r="J72" s="357">
        <v>3</v>
      </c>
      <c r="K72" s="357">
        <v>3</v>
      </c>
      <c r="L72" s="357"/>
      <c r="M72" s="357">
        <f t="shared" si="8"/>
        <v>9</v>
      </c>
      <c r="N72" s="354"/>
      <c r="O72" s="354"/>
      <c r="P72" s="354"/>
      <c r="Q72" s="354"/>
      <c r="R72"/>
      <c r="S72"/>
      <c r="T72"/>
      <c r="U72"/>
      <c r="V72"/>
      <c r="W72"/>
      <c r="X72"/>
      <c r="Y72"/>
      <c r="Z72"/>
      <c r="AA72"/>
      <c r="AB72"/>
    </row>
    <row r="73" spans="2:28">
      <c r="B73" s="305" t="s">
        <v>674</v>
      </c>
      <c r="C73" s="305">
        <v>1</v>
      </c>
      <c r="D73" s="343">
        <v>2.6</v>
      </c>
      <c r="E73" s="343">
        <v>2.8</v>
      </c>
      <c r="F73" s="343"/>
      <c r="G73" s="343">
        <f>(D73*E73)-F73</f>
        <v>7.2799999999999994</v>
      </c>
      <c r="H73" s="354"/>
      <c r="I73" s="305">
        <v>35</v>
      </c>
      <c r="J73" s="357">
        <v>6</v>
      </c>
      <c r="K73" s="357">
        <v>2.9</v>
      </c>
      <c r="L73" s="357"/>
      <c r="M73" s="357">
        <f t="shared" si="8"/>
        <v>17.399999999999999</v>
      </c>
      <c r="N73" s="354"/>
      <c r="O73" s="354"/>
      <c r="P73" s="354"/>
      <c r="Q73" s="354"/>
      <c r="R73"/>
      <c r="S73"/>
      <c r="T73"/>
      <c r="U73"/>
      <c r="V73"/>
      <c r="W73"/>
      <c r="X73"/>
      <c r="Y73"/>
      <c r="Z73"/>
      <c r="AA73"/>
      <c r="AB73"/>
    </row>
    <row r="74" spans="2:28">
      <c r="B74" s="355"/>
      <c r="C74" s="305">
        <v>2</v>
      </c>
      <c r="D74" s="343">
        <v>2.6</v>
      </c>
      <c r="E74" s="343">
        <v>2.5</v>
      </c>
      <c r="F74" s="343">
        <f>2.1*0.8</f>
        <v>1.6800000000000002</v>
      </c>
      <c r="G74" s="343">
        <f>(D74*E74)-F74</f>
        <v>4.82</v>
      </c>
      <c r="H74" s="354"/>
      <c r="I74" s="305">
        <v>36</v>
      </c>
      <c r="J74" s="353">
        <v>6.5</v>
      </c>
      <c r="K74" s="357">
        <v>31.4</v>
      </c>
      <c r="L74" s="357"/>
      <c r="M74" s="357">
        <f t="shared" si="8"/>
        <v>204.1</v>
      </c>
      <c r="N74" s="354"/>
      <c r="O74" s="354"/>
      <c r="P74" s="354"/>
      <c r="Q74" s="354"/>
      <c r="R74"/>
      <c r="S74"/>
      <c r="T74"/>
      <c r="U74"/>
      <c r="V74"/>
      <c r="W74"/>
      <c r="X74"/>
      <c r="Y74"/>
      <c r="Z74"/>
      <c r="AA74"/>
      <c r="AB74"/>
    </row>
    <row r="75" spans="2:28">
      <c r="B75" s="355"/>
      <c r="C75" s="305">
        <v>3</v>
      </c>
      <c r="D75" s="343">
        <v>2.6</v>
      </c>
      <c r="E75" s="343">
        <v>2.8</v>
      </c>
      <c r="F75" s="343">
        <f>1.2*1.4</f>
        <v>1.68</v>
      </c>
      <c r="G75" s="343">
        <f>(D75*E75)-F75</f>
        <v>5.6</v>
      </c>
      <c r="H75" s="354"/>
      <c r="I75" s="305">
        <v>38</v>
      </c>
      <c r="J75" s="353">
        <v>5.35</v>
      </c>
      <c r="K75" s="357">
        <f>1.1*3</f>
        <v>3.3000000000000003</v>
      </c>
      <c r="L75" s="357"/>
      <c r="M75" s="357">
        <f t="shared" si="8"/>
        <v>17.655000000000001</v>
      </c>
      <c r="N75" s="354"/>
      <c r="O75" s="354"/>
      <c r="P75" s="354"/>
      <c r="Q75" s="354"/>
      <c r="R75"/>
      <c r="S75"/>
      <c r="T75"/>
      <c r="U75"/>
      <c r="V75"/>
      <c r="W75"/>
      <c r="X75"/>
      <c r="Y75"/>
      <c r="Z75"/>
      <c r="AA75"/>
      <c r="AB75"/>
    </row>
    <row r="76" spans="2:28">
      <c r="B76" s="355"/>
      <c r="C76" s="305">
        <v>4</v>
      </c>
      <c r="D76" s="343">
        <v>2.6</v>
      </c>
      <c r="E76" s="343">
        <v>2.5</v>
      </c>
      <c r="F76" s="343"/>
      <c r="G76" s="343">
        <f>(D76*E76)-F76</f>
        <v>6.5</v>
      </c>
      <c r="H76" s="354"/>
      <c r="I76" s="305">
        <v>39</v>
      </c>
      <c r="J76" s="355">
        <v>1.35</v>
      </c>
      <c r="K76" s="355">
        <v>4.8499999999999996</v>
      </c>
      <c r="L76" s="355"/>
      <c r="M76" s="343">
        <f t="shared" si="8"/>
        <v>6.5475000000000003</v>
      </c>
      <c r="N76" s="354"/>
      <c r="O76" s="354"/>
      <c r="P76" s="354"/>
      <c r="Q76" s="354"/>
      <c r="R76"/>
      <c r="S76"/>
      <c r="T76"/>
      <c r="U76"/>
      <c r="V76"/>
      <c r="W76"/>
      <c r="X76"/>
      <c r="Y76"/>
      <c r="Z76"/>
      <c r="AA76"/>
      <c r="AB76"/>
    </row>
    <row r="77" spans="2:28">
      <c r="B77" s="434" t="s">
        <v>98</v>
      </c>
      <c r="C77" s="435"/>
      <c r="D77" s="435"/>
      <c r="E77" s="435"/>
      <c r="F77" s="436"/>
      <c r="G77" s="342">
        <f>SUM(G73:G76)</f>
        <v>24.2</v>
      </c>
      <c r="H77" s="354"/>
      <c r="I77" s="305">
        <v>40</v>
      </c>
      <c r="J77" s="355">
        <v>0.35</v>
      </c>
      <c r="K77" s="355">
        <v>4.8499999999999996</v>
      </c>
      <c r="L77" s="355"/>
      <c r="M77" s="343">
        <f t="shared" si="8"/>
        <v>1.6974999999999998</v>
      </c>
      <c r="N77" s="354"/>
      <c r="O77" s="354"/>
      <c r="P77" s="354"/>
      <c r="Q77" s="354"/>
      <c r="R77"/>
      <c r="S77"/>
      <c r="T77"/>
      <c r="U77"/>
      <c r="V77"/>
      <c r="W77"/>
      <c r="X77"/>
      <c r="Y77"/>
      <c r="Z77"/>
      <c r="AA77"/>
      <c r="AB77"/>
    </row>
    <row r="78" spans="2:28">
      <c r="B78" s="305" t="s">
        <v>678</v>
      </c>
      <c r="C78" s="305">
        <v>2</v>
      </c>
      <c r="D78" s="343">
        <v>3</v>
      </c>
      <c r="E78" s="343">
        <v>1.65</v>
      </c>
      <c r="F78" s="343"/>
      <c r="G78" s="343">
        <f t="shared" ref="G78:G82" si="9">(D78*E78)-F78</f>
        <v>4.9499999999999993</v>
      </c>
      <c r="H78" s="354"/>
      <c r="I78" s="305" t="s">
        <v>98</v>
      </c>
      <c r="J78" s="305"/>
      <c r="K78" s="305"/>
      <c r="L78" s="305"/>
      <c r="M78" s="342">
        <f>SUM(M52:M74)</f>
        <v>713.76400000000012</v>
      </c>
      <c r="N78" s="354"/>
      <c r="O78" s="354"/>
      <c r="P78" s="354"/>
      <c r="Q78" s="354"/>
      <c r="R78"/>
      <c r="S78"/>
      <c r="T78"/>
      <c r="U78"/>
      <c r="V78"/>
      <c r="W78"/>
      <c r="X78"/>
      <c r="Y78"/>
      <c r="Z78"/>
      <c r="AA78"/>
      <c r="AB78"/>
    </row>
    <row r="79" spans="2:28">
      <c r="B79" s="355"/>
      <c r="C79" s="305">
        <v>3</v>
      </c>
      <c r="D79" s="343">
        <v>3</v>
      </c>
      <c r="E79" s="343">
        <v>1.8</v>
      </c>
      <c r="F79" s="343"/>
      <c r="G79" s="343">
        <f t="shared" si="9"/>
        <v>5.4</v>
      </c>
      <c r="H79" s="354"/>
      <c r="I79" s="354"/>
      <c r="J79" s="354"/>
      <c r="K79" s="354"/>
      <c r="L79" s="354"/>
      <c r="M79" s="354"/>
      <c r="N79" s="354"/>
      <c r="O79" s="354"/>
      <c r="P79" s="354"/>
      <c r="Q79" s="354"/>
      <c r="R79"/>
      <c r="S79"/>
      <c r="T79"/>
      <c r="U79"/>
      <c r="V79"/>
      <c r="W79"/>
      <c r="X79"/>
      <c r="Y79"/>
      <c r="Z79"/>
      <c r="AA79"/>
      <c r="AB79"/>
    </row>
    <row r="80" spans="2:28">
      <c r="B80" s="355"/>
      <c r="C80" s="305">
        <v>5</v>
      </c>
      <c r="D80" s="343">
        <v>3</v>
      </c>
      <c r="E80" s="343">
        <v>4.3499999999999996</v>
      </c>
      <c r="F80" s="355"/>
      <c r="G80" s="343">
        <f t="shared" si="9"/>
        <v>13.049999999999999</v>
      </c>
      <c r="H80" s="354"/>
      <c r="I80" s="354"/>
      <c r="J80" s="354"/>
      <c r="K80" s="354"/>
      <c r="L80" s="354"/>
      <c r="M80" s="354"/>
      <c r="N80" s="354"/>
      <c r="O80" s="354"/>
      <c r="P80" s="354"/>
      <c r="Q80" s="354"/>
      <c r="R80"/>
      <c r="S80"/>
      <c r="T80"/>
      <c r="U80"/>
      <c r="V80"/>
      <c r="W80"/>
      <c r="X80"/>
      <c r="Y80"/>
      <c r="Z80"/>
      <c r="AA80"/>
      <c r="AB80"/>
    </row>
    <row r="81" spans="2:28">
      <c r="B81" s="355"/>
      <c r="C81" s="305">
        <v>6</v>
      </c>
      <c r="D81" s="343">
        <v>3</v>
      </c>
      <c r="E81" s="343">
        <v>3.18</v>
      </c>
      <c r="F81" s="355">
        <f>(0.8*1.5)*2</f>
        <v>2.4000000000000004</v>
      </c>
      <c r="G81" s="343">
        <f t="shared" si="9"/>
        <v>7.1400000000000006</v>
      </c>
      <c r="H81" s="354"/>
      <c r="I81" s="472" t="s">
        <v>908</v>
      </c>
      <c r="J81" s="472"/>
      <c r="K81" s="354"/>
      <c r="R81"/>
      <c r="S81"/>
      <c r="T81"/>
      <c r="U81"/>
      <c r="V81"/>
      <c r="W81"/>
      <c r="X81"/>
      <c r="Y81"/>
      <c r="Z81"/>
      <c r="AA81"/>
      <c r="AB81"/>
    </row>
    <row r="82" spans="2:28">
      <c r="B82" s="355"/>
      <c r="C82" s="355">
        <v>7</v>
      </c>
      <c r="D82" s="343">
        <v>3</v>
      </c>
      <c r="E82" s="343">
        <v>4.3499999999999996</v>
      </c>
      <c r="F82" s="355"/>
      <c r="G82" s="343">
        <f t="shared" si="9"/>
        <v>13.049999999999999</v>
      </c>
      <c r="H82" s="354"/>
      <c r="I82" s="305" t="s">
        <v>682</v>
      </c>
      <c r="J82" s="305" t="s">
        <v>683</v>
      </c>
      <c r="K82" s="354"/>
      <c r="R82"/>
      <c r="S82"/>
      <c r="T82"/>
      <c r="U82"/>
      <c r="V82"/>
      <c r="W82"/>
      <c r="X82"/>
      <c r="Y82"/>
      <c r="Z82"/>
      <c r="AA82"/>
      <c r="AB82"/>
    </row>
    <row r="83" spans="2:28">
      <c r="B83" s="434" t="s">
        <v>98</v>
      </c>
      <c r="C83" s="435"/>
      <c r="D83" s="435"/>
      <c r="E83" s="435"/>
      <c r="F83" s="436"/>
      <c r="G83" s="342">
        <f>SUM(G78:G82)</f>
        <v>43.589999999999996</v>
      </c>
      <c r="H83" s="354"/>
      <c r="I83" s="305" t="s">
        <v>667</v>
      </c>
      <c r="J83" s="343">
        <v>7.3</v>
      </c>
      <c r="K83" s="354"/>
      <c r="R83"/>
      <c r="S83"/>
      <c r="T83"/>
      <c r="U83"/>
      <c r="V83"/>
      <c r="W83"/>
      <c r="X83"/>
      <c r="Y83"/>
      <c r="Z83"/>
      <c r="AA83"/>
      <c r="AB83"/>
    </row>
    <row r="84" spans="2:28">
      <c r="B84" s="305" t="s">
        <v>679</v>
      </c>
      <c r="C84" s="305">
        <v>1</v>
      </c>
      <c r="D84" s="343">
        <v>3</v>
      </c>
      <c r="E84" s="343">
        <v>1.52</v>
      </c>
      <c r="F84" s="343">
        <f>1.3*1.1</f>
        <v>1.4300000000000002</v>
      </c>
      <c r="G84" s="343">
        <f>(D84*E84)-F84</f>
        <v>3.1300000000000003</v>
      </c>
      <c r="H84" s="354"/>
      <c r="I84" s="305" t="s">
        <v>668</v>
      </c>
      <c r="J84" s="343">
        <v>29.94</v>
      </c>
      <c r="K84" s="354"/>
      <c r="R84"/>
      <c r="S84"/>
      <c r="T84"/>
      <c r="U84"/>
      <c r="V84"/>
      <c r="W84"/>
      <c r="X84"/>
      <c r="Y84"/>
      <c r="Z84"/>
      <c r="AA84"/>
      <c r="AB84"/>
    </row>
    <row r="85" spans="2:28">
      <c r="B85" s="355"/>
      <c r="C85" s="305">
        <v>2</v>
      </c>
      <c r="D85" s="343">
        <v>3</v>
      </c>
      <c r="E85" s="343">
        <v>5.5</v>
      </c>
      <c r="F85" s="343"/>
      <c r="G85" s="343">
        <f>(D85*E85)-F85</f>
        <v>16.5</v>
      </c>
      <c r="H85" s="354"/>
      <c r="I85" s="305" t="s">
        <v>671</v>
      </c>
      <c r="J85" s="343">
        <v>42.29</v>
      </c>
      <c r="K85" s="354"/>
      <c r="R85"/>
      <c r="S85"/>
      <c r="T85"/>
      <c r="U85"/>
      <c r="V85"/>
      <c r="W85"/>
      <c r="X85"/>
      <c r="Y85"/>
      <c r="Z85"/>
      <c r="AA85"/>
      <c r="AB85"/>
    </row>
    <row r="86" spans="2:28">
      <c r="B86" s="355"/>
      <c r="C86" s="305">
        <v>3</v>
      </c>
      <c r="D86" s="343">
        <v>3</v>
      </c>
      <c r="E86" s="343">
        <v>1.52</v>
      </c>
      <c r="F86" s="355">
        <f>(0.8*1.5)</f>
        <v>1.2000000000000002</v>
      </c>
      <c r="G86" s="343">
        <f>(D86*E86)-F86</f>
        <v>3.3600000000000003</v>
      </c>
      <c r="H86" s="354"/>
      <c r="I86" s="305" t="s">
        <v>674</v>
      </c>
      <c r="J86" s="343">
        <v>7</v>
      </c>
      <c r="K86" s="354"/>
      <c r="R86"/>
      <c r="S86"/>
      <c r="T86"/>
      <c r="U86"/>
      <c r="V86"/>
      <c r="W86"/>
      <c r="X86"/>
      <c r="Y86"/>
      <c r="Z86"/>
      <c r="AA86"/>
      <c r="AB86"/>
    </row>
    <row r="87" spans="2:28">
      <c r="B87" s="355"/>
      <c r="C87" s="305">
        <v>4</v>
      </c>
      <c r="D87" s="343">
        <v>3</v>
      </c>
      <c r="E87" s="343">
        <v>5.5</v>
      </c>
      <c r="F87" s="343">
        <f>2.1*0.8</f>
        <v>1.6800000000000002</v>
      </c>
      <c r="G87" s="343">
        <f>(D87*E87)-F87</f>
        <v>14.82</v>
      </c>
      <c r="H87" s="354"/>
      <c r="I87" s="305" t="s">
        <v>678</v>
      </c>
      <c r="J87" s="343">
        <v>13.59</v>
      </c>
      <c r="K87" s="354"/>
      <c r="R87"/>
      <c r="S87"/>
      <c r="T87"/>
      <c r="U87"/>
      <c r="V87"/>
      <c r="W87"/>
      <c r="X87"/>
      <c r="Y87"/>
      <c r="Z87"/>
      <c r="AA87"/>
      <c r="AB87"/>
    </row>
    <row r="88" spans="2:28">
      <c r="B88" s="434" t="s">
        <v>98</v>
      </c>
      <c r="C88" s="435"/>
      <c r="D88" s="435"/>
      <c r="E88" s="435"/>
      <c r="F88" s="436"/>
      <c r="G88" s="344">
        <f>SUM(G84:G87)</f>
        <v>37.81</v>
      </c>
      <c r="H88" s="354"/>
      <c r="I88" s="305" t="s">
        <v>679</v>
      </c>
      <c r="J88" s="343">
        <v>8.36</v>
      </c>
      <c r="K88" s="354"/>
      <c r="R88"/>
      <c r="S88"/>
      <c r="T88"/>
      <c r="U88"/>
      <c r="V88"/>
      <c r="W88"/>
      <c r="X88"/>
      <c r="Y88"/>
      <c r="Z88"/>
      <c r="AA88"/>
      <c r="AB88"/>
    </row>
    <row r="89" spans="2:28">
      <c r="B89" s="305" t="s">
        <v>680</v>
      </c>
      <c r="C89" s="305">
        <v>1</v>
      </c>
      <c r="D89" s="343">
        <v>0.9</v>
      </c>
      <c r="E89" s="343">
        <v>1.1000000000000001</v>
      </c>
      <c r="F89" s="343">
        <f>2.1*0.8</f>
        <v>1.6800000000000002</v>
      </c>
      <c r="G89" s="343">
        <f t="shared" ref="G89:G94" si="10">(D89*E89)-F89</f>
        <v>-0.69000000000000006</v>
      </c>
      <c r="H89" s="354"/>
      <c r="I89" s="305" t="s">
        <v>684</v>
      </c>
      <c r="J89" s="343">
        <v>12.14</v>
      </c>
      <c r="K89" s="354"/>
      <c r="R89"/>
      <c r="S89"/>
      <c r="T89"/>
      <c r="U89"/>
      <c r="V89"/>
      <c r="W89"/>
      <c r="X89"/>
      <c r="Y89"/>
      <c r="Z89"/>
      <c r="AA89"/>
      <c r="AB89"/>
    </row>
    <row r="90" spans="2:28">
      <c r="B90" s="355"/>
      <c r="C90" s="305">
        <v>2</v>
      </c>
      <c r="D90" s="343">
        <v>0.9</v>
      </c>
      <c r="E90" s="343">
        <v>7.4</v>
      </c>
      <c r="F90" s="343"/>
      <c r="G90" s="343">
        <f t="shared" si="10"/>
        <v>6.66</v>
      </c>
      <c r="H90" s="354"/>
      <c r="I90" s="305" t="s">
        <v>680</v>
      </c>
      <c r="J90" s="343">
        <v>16.39</v>
      </c>
      <c r="K90" s="354"/>
      <c r="R90"/>
      <c r="S90"/>
      <c r="T90"/>
      <c r="U90"/>
      <c r="V90"/>
      <c r="W90"/>
      <c r="X90"/>
      <c r="Y90"/>
      <c r="Z90"/>
      <c r="AA90"/>
      <c r="AB90"/>
    </row>
    <row r="91" spans="2:28">
      <c r="B91" s="355"/>
      <c r="C91" s="305">
        <v>3</v>
      </c>
      <c r="D91" s="343">
        <v>0.9</v>
      </c>
      <c r="E91" s="343">
        <v>2.75</v>
      </c>
      <c r="F91" s="343">
        <f>(1.1*0.6)*2</f>
        <v>1.32</v>
      </c>
      <c r="G91" s="343">
        <f t="shared" si="10"/>
        <v>1.155</v>
      </c>
      <c r="H91" s="354"/>
      <c r="I91" s="305" t="s">
        <v>681</v>
      </c>
      <c r="J91" s="343">
        <v>21.43</v>
      </c>
      <c r="K91" s="354"/>
      <c r="R91"/>
      <c r="S91"/>
      <c r="T91"/>
      <c r="U91"/>
      <c r="V91"/>
      <c r="W91"/>
      <c r="X91"/>
      <c r="Y91"/>
      <c r="Z91"/>
      <c r="AA91"/>
      <c r="AB91"/>
    </row>
    <row r="92" spans="2:28">
      <c r="B92" s="355"/>
      <c r="C92" s="305">
        <v>4</v>
      </c>
      <c r="D92" s="343">
        <v>0.9</v>
      </c>
      <c r="E92" s="343">
        <v>5</v>
      </c>
      <c r="F92" s="343"/>
      <c r="G92" s="343">
        <f t="shared" si="10"/>
        <v>4.5</v>
      </c>
      <c r="H92" s="354"/>
      <c r="I92" s="305" t="s">
        <v>98</v>
      </c>
      <c r="J92" s="343">
        <f>SUM(J83:J91)</f>
        <v>158.44</v>
      </c>
      <c r="K92" s="354"/>
      <c r="R92"/>
      <c r="S92"/>
      <c r="T92"/>
      <c r="U92"/>
      <c r="V92"/>
      <c r="W92"/>
      <c r="X92"/>
      <c r="Y92"/>
      <c r="Z92"/>
      <c r="AA92"/>
      <c r="AB92"/>
    </row>
    <row r="93" spans="2:28">
      <c r="B93" s="355"/>
      <c r="C93" s="305">
        <v>5</v>
      </c>
      <c r="D93" s="343">
        <v>0.9</v>
      </c>
      <c r="E93" s="343">
        <v>1.65</v>
      </c>
      <c r="F93" s="355"/>
      <c r="G93" s="343">
        <f t="shared" si="10"/>
        <v>1.4849999999999999</v>
      </c>
      <c r="H93" s="354"/>
      <c r="I93" s="354"/>
      <c r="J93" s="354"/>
      <c r="K93" s="354"/>
      <c r="R93"/>
      <c r="S93"/>
      <c r="T93"/>
      <c r="U93"/>
      <c r="V93"/>
      <c r="W93"/>
      <c r="X93"/>
      <c r="Y93"/>
      <c r="Z93"/>
      <c r="AA93"/>
      <c r="AB93"/>
    </row>
    <row r="94" spans="2:28">
      <c r="B94" s="355"/>
      <c r="C94" s="305">
        <v>6</v>
      </c>
      <c r="D94" s="343">
        <v>0.9</v>
      </c>
      <c r="E94" s="343">
        <v>2.4</v>
      </c>
      <c r="F94" s="355"/>
      <c r="G94" s="343">
        <f t="shared" si="10"/>
        <v>2.16</v>
      </c>
      <c r="H94" s="354"/>
      <c r="I94"/>
      <c r="J94"/>
      <c r="K94" s="354"/>
      <c r="R94"/>
      <c r="S94"/>
      <c r="T94"/>
      <c r="U94"/>
      <c r="V94"/>
      <c r="W94"/>
      <c r="X94"/>
      <c r="Y94"/>
      <c r="Z94"/>
      <c r="AA94"/>
      <c r="AB94"/>
    </row>
    <row r="95" spans="2:28">
      <c r="B95" s="449" t="s">
        <v>98</v>
      </c>
      <c r="C95" s="450"/>
      <c r="D95" s="450"/>
      <c r="E95" s="450"/>
      <c r="F95" s="451"/>
      <c r="G95" s="348">
        <f>SUM(G89:G94)</f>
        <v>15.27</v>
      </c>
      <c r="H95" s="354"/>
      <c r="I95"/>
      <c r="J95"/>
      <c r="K95" s="354"/>
      <c r="R95"/>
      <c r="S95"/>
      <c r="T95"/>
      <c r="U95"/>
      <c r="V95"/>
      <c r="W95"/>
      <c r="X95"/>
      <c r="Y95"/>
      <c r="Z95"/>
      <c r="AA95"/>
      <c r="AB95"/>
    </row>
    <row r="96" spans="2:28">
      <c r="B96" s="305" t="s">
        <v>681</v>
      </c>
      <c r="C96" s="305">
        <v>1</v>
      </c>
      <c r="D96" s="343">
        <v>0.9</v>
      </c>
      <c r="E96" s="343">
        <v>2.77</v>
      </c>
      <c r="F96" s="343">
        <f>2.1*0.8</f>
        <v>1.6800000000000002</v>
      </c>
      <c r="G96" s="343">
        <f>(D96*E96)-F96</f>
        <v>0.81299999999999972</v>
      </c>
      <c r="H96" s="354"/>
      <c r="I96" s="354"/>
      <c r="J96" s="354"/>
      <c r="K96" s="354"/>
      <c r="R96"/>
      <c r="S96"/>
      <c r="T96"/>
      <c r="U96"/>
      <c r="V96"/>
      <c r="W96"/>
      <c r="X96"/>
      <c r="Y96"/>
      <c r="Z96"/>
      <c r="AA96"/>
      <c r="AB96"/>
    </row>
    <row r="97" spans="2:28">
      <c r="B97" s="355"/>
      <c r="C97" s="305">
        <v>2</v>
      </c>
      <c r="D97" s="343">
        <v>0.9</v>
      </c>
      <c r="E97" s="343">
        <v>7.55</v>
      </c>
      <c r="F97" s="343"/>
      <c r="G97" s="343">
        <f>(D97*E97)-F97</f>
        <v>6.7949999999999999</v>
      </c>
      <c r="H97" s="354"/>
      <c r="I97" s="354"/>
      <c r="J97" s="354"/>
      <c r="K97" s="354"/>
      <c r="R97"/>
      <c r="S97"/>
      <c r="T97"/>
      <c r="U97"/>
      <c r="V97"/>
      <c r="W97"/>
      <c r="X97"/>
      <c r="Y97"/>
      <c r="Z97"/>
      <c r="AA97"/>
      <c r="AB97"/>
    </row>
    <row r="98" spans="2:28">
      <c r="B98" s="355"/>
      <c r="C98" s="305">
        <v>3</v>
      </c>
      <c r="D98" s="343">
        <v>0.9</v>
      </c>
      <c r="E98" s="343">
        <v>2.9</v>
      </c>
      <c r="F98" s="343">
        <f>(1.2*0.6)*2</f>
        <v>1.44</v>
      </c>
      <c r="G98" s="343">
        <f>(D98*E98)-F98</f>
        <v>1.17</v>
      </c>
      <c r="H98" s="354"/>
      <c r="I98" s="354"/>
      <c r="J98" s="354"/>
      <c r="K98" s="354"/>
      <c r="R98"/>
      <c r="S98"/>
      <c r="T98"/>
      <c r="U98"/>
      <c r="V98"/>
      <c r="W98"/>
      <c r="X98"/>
      <c r="Y98"/>
      <c r="Z98"/>
      <c r="AA98"/>
      <c r="AB98"/>
    </row>
    <row r="99" spans="2:28">
      <c r="B99" s="355"/>
      <c r="C99" s="305">
        <v>4</v>
      </c>
      <c r="D99" s="343">
        <v>0.9</v>
      </c>
      <c r="E99" s="343">
        <v>7.4</v>
      </c>
      <c r="F99" s="343"/>
      <c r="G99" s="343">
        <f>(D99*E99)-F99</f>
        <v>6.66</v>
      </c>
      <c r="H99" s="354"/>
      <c r="I99" s="354"/>
      <c r="J99" s="354"/>
      <c r="K99" s="354"/>
      <c r="R99"/>
      <c r="S99"/>
      <c r="T99"/>
      <c r="U99"/>
      <c r="V99"/>
      <c r="W99"/>
      <c r="X99"/>
      <c r="Y99"/>
      <c r="Z99"/>
      <c r="AA99"/>
      <c r="AB99"/>
    </row>
    <row r="100" spans="2:28">
      <c r="B100" s="434" t="s">
        <v>98</v>
      </c>
      <c r="C100" s="435"/>
      <c r="D100" s="435"/>
      <c r="E100" s="435"/>
      <c r="F100" s="436"/>
      <c r="G100" s="342">
        <f>SUM(G96:G99)</f>
        <v>15.437999999999999</v>
      </c>
      <c r="H100" s="354"/>
      <c r="I100" s="354"/>
      <c r="J100" s="354"/>
      <c r="K100" s="354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144"/>
      <c r="M101" s="144"/>
      <c r="N101" s="144"/>
      <c r="O101" s="144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 s="354"/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2"/>
      <c r="O102" s="352"/>
      <c r="P102" s="352"/>
      <c r="Q102" s="35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 s="452" t="s">
        <v>768</v>
      </c>
      <c r="C103" s="452"/>
      <c r="D103" s="452"/>
      <c r="E103" s="452"/>
      <c r="F103" s="452"/>
      <c r="G103" s="452"/>
      <c r="H103" s="452"/>
      <c r="I103" s="452"/>
      <c r="J103" s="452"/>
      <c r="K103" s="452"/>
      <c r="L103" s="452"/>
      <c r="M103" s="452"/>
      <c r="N103" s="354"/>
      <c r="O103" s="354"/>
      <c r="P103" s="354"/>
      <c r="Q103" s="354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 s="453">
        <f>G56+G63+G72+G77+G83+G88+G95+G100+M78+J92</f>
        <v>1174.567</v>
      </c>
      <c r="C104" s="452"/>
      <c r="D104" s="452"/>
      <c r="E104" s="452"/>
      <c r="F104" s="452"/>
      <c r="G104" s="452"/>
      <c r="H104" s="452"/>
      <c r="I104" s="452"/>
      <c r="J104" s="452"/>
      <c r="K104" s="452"/>
      <c r="L104" s="452"/>
      <c r="M104" s="452"/>
      <c r="N104" s="354"/>
      <c r="O104" s="354"/>
      <c r="P104" s="354"/>
      <c r="Q104" s="35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 s="354"/>
      <c r="C105" s="354"/>
      <c r="D105" s="354"/>
      <c r="E105" s="354"/>
      <c r="F105" s="354"/>
      <c r="G105" s="354"/>
      <c r="H105" s="354"/>
      <c r="I105" s="354"/>
      <c r="J105" s="354"/>
      <c r="K105" s="354"/>
      <c r="L105" s="354"/>
      <c r="M105" s="354"/>
      <c r="N105" s="354"/>
      <c r="O105" s="354"/>
      <c r="P105" s="354"/>
      <c r="Q105" s="354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 s="354"/>
      <c r="C106" s="354"/>
      <c r="D106" s="354"/>
      <c r="E106" s="354"/>
      <c r="F106" s="354"/>
      <c r="G106" s="354"/>
      <c r="H106" s="354"/>
      <c r="I106" s="354"/>
      <c r="J106" s="354"/>
      <c r="K106" s="354"/>
      <c r="L106" s="354"/>
      <c r="M106" s="354"/>
      <c r="N106" s="354"/>
      <c r="O106" s="354"/>
      <c r="P106" s="354"/>
      <c r="Q106" s="354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 s="454" t="s">
        <v>769</v>
      </c>
      <c r="C107" s="455"/>
      <c r="D107" s="455"/>
      <c r="E107" s="455"/>
      <c r="F107" s="455"/>
      <c r="G107" s="456"/>
      <c r="H107" s="354"/>
      <c r="I107" s="457" t="s">
        <v>770</v>
      </c>
      <c r="J107" s="458"/>
      <c r="K107" s="458"/>
      <c r="L107" s="458"/>
      <c r="M107" s="458"/>
      <c r="N107" s="459"/>
      <c r="O107" s="354"/>
      <c r="P107" s="469" t="s">
        <v>907</v>
      </c>
      <c r="Q107" s="470"/>
      <c r="R107" s="470"/>
      <c r="S107" s="470"/>
      <c r="T107" s="470"/>
      <c r="U107" s="471"/>
      <c r="V107"/>
      <c r="W107"/>
      <c r="X107"/>
      <c r="Y107"/>
      <c r="Z107"/>
      <c r="AA107"/>
      <c r="AB107"/>
    </row>
    <row r="108" spans="2:28" ht="30">
      <c r="B108" s="355"/>
      <c r="C108" s="345" t="s">
        <v>96</v>
      </c>
      <c r="D108" s="345" t="s">
        <v>663</v>
      </c>
      <c r="E108" s="346" t="s">
        <v>664</v>
      </c>
      <c r="F108" s="346" t="s">
        <v>665</v>
      </c>
      <c r="G108" s="345" t="s">
        <v>666</v>
      </c>
      <c r="H108" s="354"/>
      <c r="I108" s="355"/>
      <c r="J108" s="345" t="s">
        <v>96</v>
      </c>
      <c r="K108" s="345" t="s">
        <v>663</v>
      </c>
      <c r="L108" s="346" t="s">
        <v>664</v>
      </c>
      <c r="M108" s="346" t="s">
        <v>665</v>
      </c>
      <c r="N108" s="345" t="s">
        <v>666</v>
      </c>
      <c r="O108" s="354"/>
      <c r="P108" s="355"/>
      <c r="Q108" s="345" t="s">
        <v>96</v>
      </c>
      <c r="R108" s="345" t="s">
        <v>663</v>
      </c>
      <c r="S108" s="346" t="s">
        <v>664</v>
      </c>
      <c r="T108" s="346" t="s">
        <v>665</v>
      </c>
      <c r="U108" s="345" t="s">
        <v>666</v>
      </c>
      <c r="V108"/>
      <c r="W108"/>
      <c r="X108"/>
      <c r="Y108"/>
      <c r="Z108"/>
      <c r="AA108"/>
      <c r="AB108"/>
    </row>
    <row r="109" spans="2:28">
      <c r="B109" s="305" t="s">
        <v>680</v>
      </c>
      <c r="C109" s="305">
        <v>1</v>
      </c>
      <c r="D109" s="343">
        <v>2.6</v>
      </c>
      <c r="E109" s="343">
        <v>1.1000000000000001</v>
      </c>
      <c r="F109" s="343">
        <f>2.1*0.8</f>
        <v>1.6800000000000002</v>
      </c>
      <c r="G109" s="343">
        <f t="shared" ref="G109:G114" si="11">(D109*E109)-F109</f>
        <v>1.1800000000000002</v>
      </c>
      <c r="H109" s="354"/>
      <c r="I109" s="305" t="s">
        <v>671</v>
      </c>
      <c r="J109" s="305">
        <v>1</v>
      </c>
      <c r="K109" s="343">
        <v>3</v>
      </c>
      <c r="L109" s="343">
        <v>7.35</v>
      </c>
      <c r="M109" s="343">
        <f>(2*1.1)+(3.9*2.65)</f>
        <v>12.535</v>
      </c>
      <c r="N109" s="343">
        <f>(K109*L109)-M109</f>
        <v>9.514999999999997</v>
      </c>
      <c r="O109" s="354"/>
      <c r="P109" s="305" t="s">
        <v>680</v>
      </c>
      <c r="Q109" s="305">
        <v>1</v>
      </c>
      <c r="R109" s="343">
        <v>2.1</v>
      </c>
      <c r="S109" s="343">
        <v>1.1000000000000001</v>
      </c>
      <c r="T109" s="343">
        <f>2.1*0.8</f>
        <v>1.6800000000000002</v>
      </c>
      <c r="U109" s="343">
        <f t="shared" ref="U109:U114" si="12">(R109*S109)-T109</f>
        <v>0.63000000000000034</v>
      </c>
      <c r="V109"/>
      <c r="W109"/>
      <c r="X109"/>
      <c r="Y109"/>
      <c r="Z109"/>
      <c r="AA109"/>
      <c r="AB109"/>
    </row>
    <row r="110" spans="2:28">
      <c r="B110" s="355"/>
      <c r="C110" s="305">
        <v>2</v>
      </c>
      <c r="D110" s="343">
        <v>2.6</v>
      </c>
      <c r="E110" s="343">
        <v>7.4</v>
      </c>
      <c r="F110" s="343"/>
      <c r="G110" s="343">
        <f t="shared" si="11"/>
        <v>19.240000000000002</v>
      </c>
      <c r="H110" s="354"/>
      <c r="I110" s="355"/>
      <c r="J110" s="305">
        <v>2</v>
      </c>
      <c r="K110" s="343">
        <v>3</v>
      </c>
      <c r="L110" s="343">
        <v>7.4</v>
      </c>
      <c r="M110" s="343"/>
      <c r="N110" s="343">
        <f t="shared" ref="N110:N118" si="13">(K110*L110)-M110</f>
        <v>22.200000000000003</v>
      </c>
      <c r="O110" s="354"/>
      <c r="P110" s="355"/>
      <c r="Q110" s="305">
        <v>2</v>
      </c>
      <c r="R110" s="343">
        <v>2.1</v>
      </c>
      <c r="S110" s="343">
        <v>7.4</v>
      </c>
      <c r="T110" s="343"/>
      <c r="U110" s="343">
        <f t="shared" si="12"/>
        <v>15.540000000000001</v>
      </c>
      <c r="V110"/>
      <c r="W110"/>
      <c r="X110"/>
      <c r="Y110"/>
      <c r="Z110"/>
      <c r="AA110"/>
      <c r="AB110"/>
    </row>
    <row r="111" spans="2:28">
      <c r="B111" s="355"/>
      <c r="C111" s="305">
        <v>3</v>
      </c>
      <c r="D111" s="343">
        <v>2.6</v>
      </c>
      <c r="E111" s="343">
        <v>2.75</v>
      </c>
      <c r="F111" s="343">
        <f>(1.1*0.6)*2</f>
        <v>1.32</v>
      </c>
      <c r="G111" s="343">
        <f t="shared" si="11"/>
        <v>5.83</v>
      </c>
      <c r="H111" s="354"/>
      <c r="I111" s="355"/>
      <c r="J111" s="305">
        <v>3</v>
      </c>
      <c r="K111" s="343">
        <v>3</v>
      </c>
      <c r="L111" s="343">
        <v>0.9</v>
      </c>
      <c r="M111" s="343">
        <f>2.1*0.8</f>
        <v>1.6800000000000002</v>
      </c>
      <c r="N111" s="343">
        <f t="shared" si="13"/>
        <v>1.02</v>
      </c>
      <c r="O111" s="354"/>
      <c r="P111" s="355"/>
      <c r="Q111" s="305">
        <v>3</v>
      </c>
      <c r="R111" s="343">
        <v>2.1</v>
      </c>
      <c r="S111" s="343">
        <v>2.75</v>
      </c>
      <c r="T111" s="343">
        <f>(1.1*0.6)*2</f>
        <v>1.32</v>
      </c>
      <c r="U111" s="343">
        <f t="shared" si="12"/>
        <v>4.4550000000000001</v>
      </c>
      <c r="V111"/>
      <c r="W111"/>
      <c r="X111"/>
      <c r="Y111"/>
      <c r="Z111"/>
      <c r="AA111"/>
      <c r="AB111"/>
    </row>
    <row r="112" spans="2:28">
      <c r="B112" s="355"/>
      <c r="C112" s="305">
        <v>4</v>
      </c>
      <c r="D112" s="343">
        <v>2.6</v>
      </c>
      <c r="E112" s="343">
        <v>5</v>
      </c>
      <c r="F112" s="343"/>
      <c r="G112" s="343">
        <f t="shared" si="11"/>
        <v>13</v>
      </c>
      <c r="H112" s="354"/>
      <c r="I112" s="355"/>
      <c r="J112" s="305">
        <v>4</v>
      </c>
      <c r="K112" s="343">
        <v>3</v>
      </c>
      <c r="L112" s="343">
        <v>2.7</v>
      </c>
      <c r="M112" s="343">
        <f>2.1*0.8</f>
        <v>1.6800000000000002</v>
      </c>
      <c r="N112" s="343">
        <f t="shared" si="13"/>
        <v>6.4200000000000017</v>
      </c>
      <c r="O112" s="354"/>
      <c r="P112" s="355"/>
      <c r="Q112" s="305">
        <v>4</v>
      </c>
      <c r="R112" s="343">
        <v>2.1</v>
      </c>
      <c r="S112" s="343">
        <v>5</v>
      </c>
      <c r="T112" s="343"/>
      <c r="U112" s="343">
        <f t="shared" si="12"/>
        <v>10.5</v>
      </c>
      <c r="V112"/>
      <c r="W112"/>
      <c r="X112"/>
      <c r="Y112"/>
      <c r="Z112"/>
      <c r="AA112"/>
      <c r="AB112"/>
    </row>
    <row r="113" spans="2:28">
      <c r="B113" s="355"/>
      <c r="C113" s="305">
        <v>5</v>
      </c>
      <c r="D113" s="343">
        <v>2.6</v>
      </c>
      <c r="E113" s="343">
        <v>1.65</v>
      </c>
      <c r="F113" s="355"/>
      <c r="G113" s="343">
        <f t="shared" si="11"/>
        <v>4.29</v>
      </c>
      <c r="H113" s="354"/>
      <c r="I113" s="355"/>
      <c r="J113" s="305">
        <v>5</v>
      </c>
      <c r="K113" s="343">
        <v>3</v>
      </c>
      <c r="L113" s="343">
        <v>3</v>
      </c>
      <c r="M113" s="355"/>
      <c r="N113" s="343">
        <f t="shared" si="13"/>
        <v>9</v>
      </c>
      <c r="O113" s="354"/>
      <c r="P113" s="355"/>
      <c r="Q113" s="305">
        <v>5</v>
      </c>
      <c r="R113" s="343">
        <v>2.1</v>
      </c>
      <c r="S113" s="343">
        <v>1.65</v>
      </c>
      <c r="T113" s="355"/>
      <c r="U113" s="343">
        <f t="shared" si="12"/>
        <v>3.4649999999999999</v>
      </c>
      <c r="V113"/>
      <c r="W113"/>
      <c r="X113"/>
      <c r="Y113"/>
      <c r="Z113"/>
      <c r="AA113"/>
      <c r="AB113"/>
    </row>
    <row r="114" spans="2:28">
      <c r="B114" s="355"/>
      <c r="C114" s="305">
        <v>6</v>
      </c>
      <c r="D114" s="343">
        <v>2.6</v>
      </c>
      <c r="E114" s="343">
        <v>2.4</v>
      </c>
      <c r="F114" s="355"/>
      <c r="G114" s="343">
        <f t="shared" si="11"/>
        <v>6.24</v>
      </c>
      <c r="H114" s="354"/>
      <c r="I114" s="355"/>
      <c r="J114" s="305">
        <v>6</v>
      </c>
      <c r="K114" s="343">
        <v>3</v>
      </c>
      <c r="L114" s="343">
        <v>1</v>
      </c>
      <c r="M114" s="355"/>
      <c r="N114" s="343">
        <f t="shared" si="13"/>
        <v>3</v>
      </c>
      <c r="O114" s="354"/>
      <c r="P114" s="355"/>
      <c r="Q114" s="305">
        <v>6</v>
      </c>
      <c r="R114" s="343">
        <v>2.1</v>
      </c>
      <c r="S114" s="343">
        <v>2.4</v>
      </c>
      <c r="T114" s="355"/>
      <c r="U114" s="343">
        <f t="shared" si="12"/>
        <v>5.04</v>
      </c>
      <c r="V114"/>
      <c r="W114"/>
      <c r="X114"/>
      <c r="Y114"/>
      <c r="Z114"/>
      <c r="AA114"/>
      <c r="AB114"/>
    </row>
    <row r="115" spans="2:28">
      <c r="B115" s="449" t="s">
        <v>98</v>
      </c>
      <c r="C115" s="450"/>
      <c r="D115" s="450"/>
      <c r="E115" s="450"/>
      <c r="F115" s="451"/>
      <c r="G115" s="348">
        <f>SUM(G109:G114)</f>
        <v>49.78</v>
      </c>
      <c r="H115" s="354"/>
      <c r="I115" s="355"/>
      <c r="J115" s="305">
        <v>7</v>
      </c>
      <c r="K115" s="343">
        <v>1</v>
      </c>
      <c r="L115" s="343">
        <v>10.62</v>
      </c>
      <c r="M115" s="355"/>
      <c r="N115" s="343">
        <f t="shared" si="13"/>
        <v>10.62</v>
      </c>
      <c r="O115" s="354"/>
      <c r="P115" s="449" t="s">
        <v>98</v>
      </c>
      <c r="Q115" s="450"/>
      <c r="R115" s="450"/>
      <c r="S115" s="450"/>
      <c r="T115" s="451"/>
      <c r="U115" s="348">
        <f>SUM(U109:U114)</f>
        <v>39.630000000000003</v>
      </c>
      <c r="V115"/>
      <c r="W115"/>
      <c r="X115"/>
      <c r="Y115"/>
      <c r="Z115"/>
      <c r="AA115"/>
      <c r="AB115"/>
    </row>
    <row r="116" spans="2:28">
      <c r="B116" s="305" t="s">
        <v>681</v>
      </c>
      <c r="C116" s="305">
        <v>1</v>
      </c>
      <c r="D116" s="343">
        <v>2.6</v>
      </c>
      <c r="E116" s="343">
        <v>2.77</v>
      </c>
      <c r="F116" s="343">
        <f>2.1*0.8</f>
        <v>1.6800000000000002</v>
      </c>
      <c r="G116" s="343">
        <f>(D116*E116)-F116</f>
        <v>5.5220000000000002</v>
      </c>
      <c r="H116" s="354"/>
      <c r="I116" s="355"/>
      <c r="J116" s="305">
        <v>8</v>
      </c>
      <c r="K116" s="343">
        <v>1.5</v>
      </c>
      <c r="L116" s="343">
        <v>3.7</v>
      </c>
      <c r="M116" s="355"/>
      <c r="N116" s="343">
        <f t="shared" si="13"/>
        <v>5.5500000000000007</v>
      </c>
      <c r="O116" s="354"/>
      <c r="P116" s="305" t="s">
        <v>681</v>
      </c>
      <c r="Q116" s="305">
        <v>1</v>
      </c>
      <c r="R116" s="343">
        <v>2.1</v>
      </c>
      <c r="S116" s="343">
        <v>2.77</v>
      </c>
      <c r="T116" s="343">
        <f>2.1*0.8</f>
        <v>1.6800000000000002</v>
      </c>
      <c r="U116" s="343">
        <f>(R116*S116)-T116</f>
        <v>4.1370000000000005</v>
      </c>
      <c r="V116"/>
      <c r="W116"/>
      <c r="X116"/>
      <c r="Y116"/>
      <c r="Z116"/>
      <c r="AA116"/>
      <c r="AB116"/>
    </row>
    <row r="117" spans="2:28">
      <c r="B117" s="355"/>
      <c r="C117" s="305">
        <v>2</v>
      </c>
      <c r="D117" s="343">
        <v>2.6</v>
      </c>
      <c r="E117" s="343">
        <v>7.55</v>
      </c>
      <c r="F117" s="343"/>
      <c r="G117" s="343">
        <f>(D117*E117)-F117</f>
        <v>19.63</v>
      </c>
      <c r="H117" s="354"/>
      <c r="I117" s="355"/>
      <c r="J117" s="305">
        <v>9</v>
      </c>
      <c r="K117" s="343">
        <v>1.5</v>
      </c>
      <c r="L117" s="343">
        <v>2.95</v>
      </c>
      <c r="M117" s="343">
        <f>(1.2*1.4)*2</f>
        <v>3.36</v>
      </c>
      <c r="N117" s="343">
        <f t="shared" si="13"/>
        <v>1.0650000000000008</v>
      </c>
      <c r="O117" s="354"/>
      <c r="P117" s="355"/>
      <c r="Q117" s="305">
        <v>2</v>
      </c>
      <c r="R117" s="343">
        <v>2.1</v>
      </c>
      <c r="S117" s="343">
        <v>7.55</v>
      </c>
      <c r="T117" s="343"/>
      <c r="U117" s="343">
        <f>(R117*S117)-T117</f>
        <v>15.855</v>
      </c>
      <c r="V117"/>
      <c r="W117"/>
      <c r="X117"/>
      <c r="Y117"/>
      <c r="Z117"/>
      <c r="AA117"/>
      <c r="AB117"/>
    </row>
    <row r="118" spans="2:28">
      <c r="B118" s="355"/>
      <c r="C118" s="305">
        <v>3</v>
      </c>
      <c r="D118" s="343">
        <v>2.6</v>
      </c>
      <c r="E118" s="343">
        <v>2.9</v>
      </c>
      <c r="F118" s="343">
        <f>(1.2*0.6)*2</f>
        <v>1.44</v>
      </c>
      <c r="G118" s="343">
        <f>(D118*E118)-F118</f>
        <v>6.1</v>
      </c>
      <c r="H118" s="354"/>
      <c r="I118" s="355"/>
      <c r="J118" s="305">
        <v>10</v>
      </c>
      <c r="K118" s="343">
        <v>1.5</v>
      </c>
      <c r="L118" s="343">
        <v>7.4</v>
      </c>
      <c r="M118" s="355"/>
      <c r="N118" s="343">
        <f t="shared" si="13"/>
        <v>11.100000000000001</v>
      </c>
      <c r="O118" s="354"/>
      <c r="P118" s="355"/>
      <c r="Q118" s="305">
        <v>3</v>
      </c>
      <c r="R118" s="343">
        <v>2.1</v>
      </c>
      <c r="S118" s="343">
        <v>2.9</v>
      </c>
      <c r="T118" s="343">
        <f>(1.2*0.6)*2</f>
        <v>1.44</v>
      </c>
      <c r="U118" s="343">
        <f>(R118*S118)-T118</f>
        <v>4.6500000000000004</v>
      </c>
      <c r="V118"/>
      <c r="W118"/>
      <c r="X118"/>
      <c r="Y118"/>
      <c r="Z118"/>
      <c r="AA118"/>
      <c r="AB118"/>
    </row>
    <row r="119" spans="2:28">
      <c r="B119" s="355"/>
      <c r="C119" s="305">
        <v>4</v>
      </c>
      <c r="D119" s="343">
        <v>2.6</v>
      </c>
      <c r="E119" s="343">
        <v>7.4</v>
      </c>
      <c r="F119" s="343"/>
      <c r="G119" s="343">
        <f>(D119*E119)-F119</f>
        <v>19.240000000000002</v>
      </c>
      <c r="H119" s="354"/>
      <c r="I119" s="434" t="s">
        <v>98</v>
      </c>
      <c r="J119" s="435"/>
      <c r="K119" s="435"/>
      <c r="L119" s="435"/>
      <c r="M119" s="436"/>
      <c r="N119" s="342">
        <f>SUM(N109:N118)</f>
        <v>79.490000000000009</v>
      </c>
      <c r="O119" s="354"/>
      <c r="P119" s="355"/>
      <c r="Q119" s="305">
        <v>4</v>
      </c>
      <c r="R119" s="343">
        <v>2.1</v>
      </c>
      <c r="S119" s="343">
        <v>7.4</v>
      </c>
      <c r="T119" s="343"/>
      <c r="U119" s="343">
        <f>(R119*S119)-T119</f>
        <v>15.540000000000001</v>
      </c>
      <c r="V119"/>
      <c r="W119"/>
      <c r="X119"/>
      <c r="Y119"/>
      <c r="Z119"/>
      <c r="AA119"/>
      <c r="AB119"/>
    </row>
    <row r="120" spans="2:28">
      <c r="B120" s="434" t="s">
        <v>98</v>
      </c>
      <c r="C120" s="435"/>
      <c r="D120" s="435"/>
      <c r="E120" s="435"/>
      <c r="F120" s="436"/>
      <c r="G120" s="342">
        <f>SUM(G116:G119)</f>
        <v>50.492000000000004</v>
      </c>
      <c r="H120" s="354"/>
      <c r="I120" s="305" t="s">
        <v>674</v>
      </c>
      <c r="J120" s="305">
        <v>1</v>
      </c>
      <c r="K120" s="343">
        <v>2.6</v>
      </c>
      <c r="L120" s="343">
        <v>2.8</v>
      </c>
      <c r="M120" s="343"/>
      <c r="N120" s="343">
        <f>(K120*L120)-M120</f>
        <v>7.2799999999999994</v>
      </c>
      <c r="O120" s="354"/>
      <c r="P120" s="434" t="s">
        <v>98</v>
      </c>
      <c r="Q120" s="435"/>
      <c r="R120" s="435"/>
      <c r="S120" s="435"/>
      <c r="T120" s="436"/>
      <c r="U120" s="342">
        <f>SUM(U116:U119)</f>
        <v>40.182000000000002</v>
      </c>
      <c r="V120"/>
      <c r="W120"/>
      <c r="X120"/>
      <c r="Y120"/>
      <c r="Z120"/>
      <c r="AA120"/>
      <c r="AB120"/>
    </row>
    <row r="121" spans="2:28">
      <c r="B121" s="354"/>
      <c r="C121" s="354"/>
      <c r="D121" s="354"/>
      <c r="E121" s="354"/>
      <c r="F121" s="354"/>
      <c r="G121" s="354"/>
      <c r="H121" s="354"/>
      <c r="I121" s="355"/>
      <c r="J121" s="305">
        <v>2</v>
      </c>
      <c r="K121" s="343">
        <v>2.6</v>
      </c>
      <c r="L121" s="343">
        <v>2.5</v>
      </c>
      <c r="M121" s="343">
        <f>2.1*0.8</f>
        <v>1.6800000000000002</v>
      </c>
      <c r="N121" s="343">
        <f>(K121*L121)-M121</f>
        <v>4.82</v>
      </c>
      <c r="O121" s="354"/>
      <c r="P121" s="305" t="s">
        <v>671</v>
      </c>
      <c r="Q121" s="305">
        <v>2</v>
      </c>
      <c r="R121" s="343">
        <v>1.6</v>
      </c>
      <c r="S121" s="343">
        <v>7.4</v>
      </c>
      <c r="T121" s="343"/>
      <c r="U121" s="343">
        <f t="shared" ref="U121:U123" si="14">(R121*S121)-T121</f>
        <v>11.840000000000002</v>
      </c>
      <c r="V121"/>
      <c r="W121"/>
      <c r="X121"/>
      <c r="Y121"/>
      <c r="Z121"/>
      <c r="AA121"/>
      <c r="AB121"/>
    </row>
    <row r="122" spans="2:28">
      <c r="B122" s="440" t="s">
        <v>771</v>
      </c>
      <c r="C122" s="440"/>
      <c r="D122" s="440"/>
      <c r="E122" s="440"/>
      <c r="F122" s="440"/>
      <c r="G122" s="440"/>
      <c r="H122" s="354"/>
      <c r="I122" s="355"/>
      <c r="J122" s="305">
        <v>3</v>
      </c>
      <c r="K122" s="343">
        <v>2.6</v>
      </c>
      <c r="L122" s="343">
        <v>2.8</v>
      </c>
      <c r="M122" s="343">
        <f>1.2*1.4</f>
        <v>1.68</v>
      </c>
      <c r="N122" s="343">
        <f>(K122*L122)-M122</f>
        <v>5.6</v>
      </c>
      <c r="O122" s="354"/>
      <c r="P122" s="355"/>
      <c r="Q122" s="305">
        <v>4</v>
      </c>
      <c r="R122" s="343">
        <v>1.6</v>
      </c>
      <c r="S122" s="343">
        <v>2.7</v>
      </c>
      <c r="T122" s="343">
        <f>2.1*0.8</f>
        <v>1.6800000000000002</v>
      </c>
      <c r="U122" s="343">
        <f t="shared" si="14"/>
        <v>2.64</v>
      </c>
      <c r="V122"/>
      <c r="W122"/>
      <c r="X122"/>
      <c r="Y122"/>
      <c r="Z122"/>
      <c r="AA122"/>
      <c r="AB122"/>
    </row>
    <row r="123" spans="2:28">
      <c r="B123" s="439">
        <f>G115+G120</f>
        <v>100.27200000000001</v>
      </c>
      <c r="C123" s="440"/>
      <c r="D123" s="440"/>
      <c r="E123" s="440"/>
      <c r="F123" s="440"/>
      <c r="G123" s="440"/>
      <c r="H123" s="354"/>
      <c r="I123" s="355"/>
      <c r="J123" s="305">
        <v>4</v>
      </c>
      <c r="K123" s="343">
        <v>2.6</v>
      </c>
      <c r="L123" s="343">
        <v>2.5</v>
      </c>
      <c r="M123" s="343"/>
      <c r="N123" s="343">
        <f>(K123*L123)-M123</f>
        <v>6.5</v>
      </c>
      <c r="O123" s="354"/>
      <c r="P123" s="355"/>
      <c r="Q123" s="305">
        <v>5</v>
      </c>
      <c r="R123" s="343">
        <v>1.4</v>
      </c>
      <c r="S123" s="343">
        <v>3</v>
      </c>
      <c r="T123" s="355"/>
      <c r="U123" s="343">
        <f t="shared" si="14"/>
        <v>4.1999999999999993</v>
      </c>
      <c r="V123"/>
      <c r="W123"/>
      <c r="X123"/>
      <c r="Y123"/>
      <c r="Z123"/>
      <c r="AA123"/>
      <c r="AB123"/>
    </row>
    <row r="124" spans="2:28">
      <c r="B124" s="354"/>
      <c r="C124" s="354"/>
      <c r="D124" s="354"/>
      <c r="E124" s="354"/>
      <c r="F124" s="354"/>
      <c r="G124" s="354"/>
      <c r="H124" s="354"/>
      <c r="I124" s="434" t="s">
        <v>98</v>
      </c>
      <c r="J124" s="435"/>
      <c r="K124" s="435"/>
      <c r="L124" s="435"/>
      <c r="M124" s="436"/>
      <c r="N124" s="342">
        <f>SUM(N120:N123)</f>
        <v>24.2</v>
      </c>
      <c r="O124" s="354"/>
      <c r="P124" s="349" t="s">
        <v>98</v>
      </c>
      <c r="Q124" s="350"/>
      <c r="R124" s="350"/>
      <c r="S124" s="350"/>
      <c r="T124" s="351"/>
      <c r="U124" s="342">
        <f>SUM(U121:U123)</f>
        <v>18.68</v>
      </c>
      <c r="V124"/>
      <c r="W124"/>
      <c r="X124"/>
      <c r="Y124"/>
      <c r="Z124"/>
      <c r="AA124"/>
      <c r="AB124"/>
    </row>
    <row r="125" spans="2:28">
      <c r="B125" s="354"/>
      <c r="C125" s="354"/>
      <c r="D125" s="354"/>
      <c r="E125" s="354"/>
      <c r="F125" s="354"/>
      <c r="G125" s="354"/>
      <c r="H125" s="354"/>
      <c r="I125" s="354"/>
      <c r="J125" s="354"/>
      <c r="K125" s="354"/>
      <c r="L125" s="354"/>
      <c r="M125" s="354"/>
      <c r="N125" s="354"/>
      <c r="O125" s="354"/>
      <c r="P125" s="354"/>
      <c r="Q125" s="354"/>
      <c r="R125" s="354"/>
      <c r="S125" s="354"/>
      <c r="T125" s="354"/>
      <c r="U125" s="354"/>
      <c r="V125"/>
      <c r="W125"/>
      <c r="X125"/>
      <c r="Y125"/>
      <c r="Z125"/>
      <c r="AA125"/>
      <c r="AB125"/>
    </row>
    <row r="126" spans="2:28">
      <c r="B126" s="354"/>
      <c r="C126" s="354"/>
      <c r="D126" s="354"/>
      <c r="E126" s="354"/>
      <c r="F126" s="354"/>
      <c r="G126" s="354"/>
      <c r="H126" s="354"/>
      <c r="I126" s="441" t="s">
        <v>772</v>
      </c>
      <c r="J126" s="441"/>
      <c r="K126" s="441"/>
      <c r="L126" s="441"/>
      <c r="M126" s="441"/>
      <c r="N126" s="441"/>
      <c r="O126" s="354"/>
      <c r="P126" s="447" t="s">
        <v>767</v>
      </c>
      <c r="Q126" s="447"/>
      <c r="R126" s="447"/>
      <c r="S126" s="447"/>
      <c r="T126" s="447"/>
      <c r="U126" s="447"/>
      <c r="V126"/>
      <c r="W126"/>
      <c r="X126"/>
      <c r="Y126"/>
      <c r="Z126"/>
      <c r="AA126"/>
      <c r="AB126"/>
    </row>
    <row r="127" spans="2:28">
      <c r="B127" s="354"/>
      <c r="C127" s="354"/>
      <c r="D127" s="354"/>
      <c r="E127" s="354"/>
      <c r="F127" s="354"/>
      <c r="G127" s="354"/>
      <c r="H127" s="354"/>
      <c r="I127" s="442">
        <f>N119+N124</f>
        <v>103.69000000000001</v>
      </c>
      <c r="J127" s="441"/>
      <c r="K127" s="441"/>
      <c r="L127" s="441"/>
      <c r="M127" s="441"/>
      <c r="N127" s="441"/>
      <c r="O127" s="354"/>
      <c r="P127" s="448">
        <f>U115+U120+U124</f>
        <v>98.492000000000019</v>
      </c>
      <c r="Q127" s="447"/>
      <c r="R127" s="447"/>
      <c r="S127" s="447"/>
      <c r="T127" s="447"/>
      <c r="U127" s="447"/>
      <c r="V127"/>
      <c r="W127"/>
      <c r="X127"/>
      <c r="Y127"/>
      <c r="Z127"/>
      <c r="AA127"/>
      <c r="AB127"/>
    </row>
    <row r="128" spans="2:28">
      <c r="B128" s="354"/>
      <c r="C128" s="354"/>
      <c r="D128" s="354"/>
      <c r="E128" s="354"/>
      <c r="F128" s="354"/>
      <c r="G128" s="354"/>
      <c r="H128" s="354"/>
      <c r="I128" s="354"/>
      <c r="J128" s="354"/>
      <c r="K128" s="354"/>
      <c r="L128" s="354"/>
      <c r="M128" s="354"/>
      <c r="N128" s="354"/>
      <c r="O128" s="354"/>
      <c r="P128" s="354"/>
      <c r="Q128" s="354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 s="354"/>
      <c r="C129" s="354"/>
      <c r="D129" s="354"/>
      <c r="E129" s="354"/>
      <c r="F129" s="354"/>
      <c r="G129" s="354"/>
      <c r="H129" s="354"/>
      <c r="I129" s="354"/>
      <c r="J129" s="354"/>
      <c r="K129" s="354"/>
      <c r="L129" s="354"/>
      <c r="M129" s="354"/>
      <c r="N129" s="354"/>
      <c r="O129" s="354"/>
      <c r="P129" s="354"/>
      <c r="Q129" s="354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 s="443" t="s">
        <v>773</v>
      </c>
      <c r="C130" s="444"/>
      <c r="D130" s="444"/>
      <c r="E130" s="444"/>
      <c r="F130" s="444"/>
      <c r="G130" s="445"/>
      <c r="H130" s="354"/>
      <c r="I130" s="446" t="s">
        <v>774</v>
      </c>
      <c r="J130" s="446"/>
      <c r="K130" s="446"/>
      <c r="L130" s="446"/>
      <c r="M130" s="446"/>
      <c r="N130" s="354"/>
      <c r="O130" s="354"/>
      <c r="P130" s="354"/>
      <c r="Q130" s="354"/>
      <c r="R130"/>
      <c r="S130"/>
      <c r="T130"/>
      <c r="U130"/>
      <c r="V130"/>
      <c r="W130"/>
      <c r="X130"/>
      <c r="Y130"/>
      <c r="Z130"/>
      <c r="AA130"/>
      <c r="AB130"/>
    </row>
    <row r="131" spans="2:28" ht="30">
      <c r="B131" s="355"/>
      <c r="C131" s="345" t="s">
        <v>96</v>
      </c>
      <c r="D131" s="345" t="s">
        <v>663</v>
      </c>
      <c r="E131" s="346" t="s">
        <v>664</v>
      </c>
      <c r="F131" s="346" t="s">
        <v>665</v>
      </c>
      <c r="G131" s="345" t="s">
        <v>666</v>
      </c>
      <c r="H131" s="354"/>
      <c r="I131" s="345" t="s">
        <v>96</v>
      </c>
      <c r="J131" s="345" t="s">
        <v>663</v>
      </c>
      <c r="K131" s="346" t="s">
        <v>664</v>
      </c>
      <c r="L131" s="346" t="s">
        <v>665</v>
      </c>
      <c r="M131" s="345" t="s">
        <v>666</v>
      </c>
      <c r="N131" s="354"/>
      <c r="O131" s="354"/>
      <c r="P131" s="354"/>
      <c r="Q131" s="354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 s="305" t="s">
        <v>667</v>
      </c>
      <c r="C132" s="305">
        <v>1</v>
      </c>
      <c r="D132" s="343">
        <v>3</v>
      </c>
      <c r="E132" s="343">
        <v>2</v>
      </c>
      <c r="F132" s="343"/>
      <c r="G132" s="343">
        <f>(D132*E132)-F132</f>
        <v>6</v>
      </c>
      <c r="H132" s="354"/>
      <c r="I132" s="305">
        <v>1</v>
      </c>
      <c r="J132" s="353">
        <v>4.4000000000000004</v>
      </c>
      <c r="K132" s="356">
        <v>23.75</v>
      </c>
      <c r="L132" s="357">
        <f>(1.2*1.4*5)+(0.8*2.1)+(0.8*1.5*3)+(1.1*0.6*2)+(1.2*0.6*2)</f>
        <v>16.440000000000001</v>
      </c>
      <c r="M132" s="353">
        <f>(J132*K132)-L132</f>
        <v>88.060000000000016</v>
      </c>
      <c r="N132" s="354"/>
      <c r="O132" s="354"/>
      <c r="P132" s="354"/>
      <c r="Q132" s="354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 s="355"/>
      <c r="C133" s="305">
        <v>2</v>
      </c>
      <c r="D133" s="343">
        <v>3</v>
      </c>
      <c r="E133" s="343">
        <v>3.65</v>
      </c>
      <c r="F133" s="343">
        <f>2.1*0.8</f>
        <v>1.6800000000000002</v>
      </c>
      <c r="G133" s="343">
        <f>(D133*E133)-F133</f>
        <v>9.27</v>
      </c>
      <c r="H133" s="354"/>
      <c r="I133" s="305">
        <v>2</v>
      </c>
      <c r="J133" s="353">
        <v>4.4000000000000004</v>
      </c>
      <c r="K133" s="357">
        <v>7.9</v>
      </c>
      <c r="L133" s="357">
        <f>0.8*2.1</f>
        <v>1.6800000000000002</v>
      </c>
      <c r="M133" s="353">
        <f t="shared" ref="M133:M138" si="15">(J133*K133)-L133</f>
        <v>33.080000000000005</v>
      </c>
      <c r="N133" s="354"/>
      <c r="O133" s="354"/>
      <c r="P133" s="354"/>
      <c r="Q133" s="354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 s="355"/>
      <c r="C134" s="305">
        <v>3</v>
      </c>
      <c r="D134" s="343">
        <v>3</v>
      </c>
      <c r="E134" s="343">
        <v>2</v>
      </c>
      <c r="F134" s="343">
        <f>1.2*1.4</f>
        <v>1.68</v>
      </c>
      <c r="G134" s="343">
        <f>(D134*E134)-F134</f>
        <v>4.32</v>
      </c>
      <c r="H134" s="354"/>
      <c r="I134" s="305">
        <v>3</v>
      </c>
      <c r="J134" s="357">
        <v>4</v>
      </c>
      <c r="K134" s="357">
        <v>12.85</v>
      </c>
      <c r="L134" s="357">
        <f>(1.8*2.1)+(1.3*2)+(2*1.5)+(3.6*2.1)</f>
        <v>16.940000000000001</v>
      </c>
      <c r="M134" s="353">
        <f t="shared" si="15"/>
        <v>34.459999999999994</v>
      </c>
      <c r="N134" s="354"/>
      <c r="O134" s="354"/>
      <c r="P134" s="354"/>
      <c r="Q134" s="35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 s="355"/>
      <c r="C135" s="305">
        <v>4</v>
      </c>
      <c r="D135" s="343">
        <v>3</v>
      </c>
      <c r="E135" s="343">
        <v>3.65</v>
      </c>
      <c r="F135" s="343"/>
      <c r="G135" s="343">
        <f>(D135*E135)-F135</f>
        <v>10.95</v>
      </c>
      <c r="H135" s="354"/>
      <c r="I135" s="305">
        <v>4</v>
      </c>
      <c r="J135" s="357">
        <v>3</v>
      </c>
      <c r="K135" s="357">
        <v>11.15</v>
      </c>
      <c r="L135" s="357">
        <f>(0.8*2.1*2)+(1.1*1.3*2)+(0.8*0.45)</f>
        <v>6.580000000000001</v>
      </c>
      <c r="M135" s="353">
        <f t="shared" si="15"/>
        <v>26.87</v>
      </c>
      <c r="N135" s="354"/>
      <c r="O135" s="354"/>
      <c r="P135" s="354"/>
      <c r="Q135" s="354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 s="434" t="s">
        <v>98</v>
      </c>
      <c r="C136" s="435"/>
      <c r="D136" s="435"/>
      <c r="E136" s="435"/>
      <c r="F136" s="436"/>
      <c r="G136" s="342">
        <f>SUM(G132:G135)</f>
        <v>30.54</v>
      </c>
      <c r="H136" s="354"/>
      <c r="I136" s="305">
        <v>5</v>
      </c>
      <c r="J136" s="357">
        <v>4</v>
      </c>
      <c r="K136" s="357">
        <v>6.05</v>
      </c>
      <c r="L136" s="357">
        <f>(0.8*2.1)+(0.9*2.1*2)</f>
        <v>5.4600000000000009</v>
      </c>
      <c r="M136" s="353">
        <f t="shared" si="15"/>
        <v>18.739999999999998</v>
      </c>
      <c r="N136" s="354"/>
      <c r="O136" s="354"/>
      <c r="P136" s="354"/>
      <c r="Q136" s="354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 s="305" t="s">
        <v>668</v>
      </c>
      <c r="C137" s="305">
        <v>1</v>
      </c>
      <c r="D137" s="343">
        <v>3</v>
      </c>
      <c r="E137" s="343">
        <v>6.07</v>
      </c>
      <c r="F137" s="343">
        <f>(2*2.65)+(1.3*2)</f>
        <v>7.9</v>
      </c>
      <c r="G137" s="343">
        <f t="shared" ref="G137:G142" si="16">(D137*E137)-F137</f>
        <v>10.31</v>
      </c>
      <c r="H137" s="354"/>
      <c r="I137" s="305">
        <v>6</v>
      </c>
      <c r="J137" s="357">
        <v>4</v>
      </c>
      <c r="K137" s="357">
        <v>2.35</v>
      </c>
      <c r="L137" s="357"/>
      <c r="M137" s="353">
        <f t="shared" si="15"/>
        <v>9.4</v>
      </c>
      <c r="N137" s="354"/>
      <c r="O137" s="354"/>
      <c r="P137" s="354"/>
      <c r="Q137" s="354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 s="355"/>
      <c r="C138" s="305">
        <v>2</v>
      </c>
      <c r="D138" s="343">
        <v>3</v>
      </c>
      <c r="E138" s="343">
        <v>7.4</v>
      </c>
      <c r="F138" s="343"/>
      <c r="G138" s="343">
        <f t="shared" si="16"/>
        <v>22.200000000000003</v>
      </c>
      <c r="H138" s="354"/>
      <c r="I138" s="305">
        <v>7</v>
      </c>
      <c r="J138" s="357">
        <v>0.15</v>
      </c>
      <c r="K138" s="357">
        <v>8.91</v>
      </c>
      <c r="L138" s="357"/>
      <c r="M138" s="353">
        <f t="shared" si="15"/>
        <v>1.3365</v>
      </c>
      <c r="N138" s="354"/>
      <c r="O138" s="354"/>
      <c r="P138" s="354"/>
      <c r="Q138" s="354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 s="355"/>
      <c r="C139" s="305">
        <v>3</v>
      </c>
      <c r="D139" s="343">
        <v>3</v>
      </c>
      <c r="E139" s="343">
        <v>3</v>
      </c>
      <c r="F139" s="343">
        <f>(1.2*1.4)</f>
        <v>1.68</v>
      </c>
      <c r="G139" s="343">
        <f t="shared" si="16"/>
        <v>7.32</v>
      </c>
      <c r="H139" s="354"/>
      <c r="I139" s="305" t="s">
        <v>669</v>
      </c>
      <c r="J139" s="357">
        <v>0.7</v>
      </c>
      <c r="K139" s="357">
        <v>6.6</v>
      </c>
      <c r="L139" s="357"/>
      <c r="M139" s="353">
        <f>((J139+J138)*K139)/2</f>
        <v>2.8049999999999997</v>
      </c>
      <c r="N139" s="354"/>
      <c r="O139" s="354"/>
      <c r="P139" s="354"/>
      <c r="Q139" s="354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 s="355"/>
      <c r="C140" s="305">
        <v>4</v>
      </c>
      <c r="D140" s="343">
        <v>3</v>
      </c>
      <c r="E140" s="343">
        <v>4</v>
      </c>
      <c r="F140" s="343"/>
      <c r="G140" s="343">
        <f t="shared" si="16"/>
        <v>12</v>
      </c>
      <c r="H140" s="354"/>
      <c r="I140" s="305">
        <v>9</v>
      </c>
      <c r="J140" s="357">
        <v>0.7</v>
      </c>
      <c r="K140" s="357">
        <v>1.55</v>
      </c>
      <c r="L140" s="357"/>
      <c r="M140" s="353">
        <f t="shared" ref="M140:M141" si="17">(J140*K140)-L140</f>
        <v>1.085</v>
      </c>
      <c r="N140" s="354"/>
      <c r="O140" s="354"/>
      <c r="P140" s="354"/>
      <c r="Q140" s="354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 s="355"/>
      <c r="C141" s="305">
        <v>5</v>
      </c>
      <c r="D141" s="343">
        <v>3</v>
      </c>
      <c r="E141" s="343">
        <v>2.35</v>
      </c>
      <c r="F141" s="355"/>
      <c r="G141" s="343">
        <f t="shared" si="16"/>
        <v>7.0500000000000007</v>
      </c>
      <c r="H141" s="354"/>
      <c r="I141" s="305">
        <v>10</v>
      </c>
      <c r="J141" s="357">
        <v>4.55</v>
      </c>
      <c r="K141" s="357">
        <v>3.19</v>
      </c>
      <c r="L141" s="357"/>
      <c r="M141" s="353">
        <f t="shared" si="17"/>
        <v>14.5145</v>
      </c>
      <c r="N141" s="354"/>
      <c r="O141" s="354"/>
      <c r="P141" s="354"/>
      <c r="Q141" s="354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 s="355"/>
      <c r="C142" s="305">
        <v>6</v>
      </c>
      <c r="D142" s="343">
        <v>3</v>
      </c>
      <c r="E142" s="343">
        <v>3.55</v>
      </c>
      <c r="F142" s="355"/>
      <c r="G142" s="343">
        <f t="shared" si="16"/>
        <v>10.649999999999999</v>
      </c>
      <c r="H142" s="354"/>
      <c r="I142" s="305">
        <v>11</v>
      </c>
      <c r="J142" s="357">
        <v>0.95</v>
      </c>
      <c r="K142" s="357">
        <v>13.7</v>
      </c>
      <c r="L142" s="357"/>
      <c r="M142" s="353">
        <f>(J142*K142)-L142</f>
        <v>13.014999999999999</v>
      </c>
      <c r="N142" s="354"/>
      <c r="O142" s="354"/>
      <c r="P142" s="354"/>
      <c r="Q142" s="354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 s="434" t="s">
        <v>98</v>
      </c>
      <c r="C143" s="435"/>
      <c r="D143" s="435"/>
      <c r="E143" s="435"/>
      <c r="F143" s="436"/>
      <c r="G143" s="342">
        <f>SUM(G137:G142)</f>
        <v>69.53</v>
      </c>
      <c r="H143" s="354"/>
      <c r="I143" s="305" t="s">
        <v>670</v>
      </c>
      <c r="J143" s="357">
        <v>1.5</v>
      </c>
      <c r="K143" s="357">
        <v>6.6</v>
      </c>
      <c r="L143" s="357"/>
      <c r="M143" s="353">
        <f>((J143+J142)*K143)/2</f>
        <v>8.0850000000000009</v>
      </c>
      <c r="N143" s="354"/>
      <c r="O143" s="354"/>
      <c r="P143" s="354"/>
      <c r="Q143" s="354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 s="305" t="s">
        <v>671</v>
      </c>
      <c r="C144" s="361"/>
      <c r="D144" s="361"/>
      <c r="E144" s="361"/>
      <c r="F144" s="361"/>
      <c r="G144" s="361"/>
      <c r="H144" s="354"/>
      <c r="I144" s="305">
        <v>13</v>
      </c>
      <c r="J144" s="357">
        <v>1.5</v>
      </c>
      <c r="K144" s="357">
        <v>0.81</v>
      </c>
      <c r="L144" s="357"/>
      <c r="M144" s="353">
        <f>(J144*K144)-L144</f>
        <v>1.2150000000000001</v>
      </c>
      <c r="N144" s="354"/>
      <c r="O144" s="354"/>
      <c r="P144" s="354"/>
      <c r="Q144" s="35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 s="355"/>
      <c r="C145" s="305">
        <v>8</v>
      </c>
      <c r="D145" s="343">
        <v>1.5</v>
      </c>
      <c r="E145" s="343">
        <v>3.7</v>
      </c>
      <c r="F145" s="355"/>
      <c r="G145" s="343">
        <f t="shared" ref="G145:G147" si="18">(D145*E145)-F145</f>
        <v>5.5500000000000007</v>
      </c>
      <c r="H145" s="354"/>
      <c r="I145" s="305" t="s">
        <v>672</v>
      </c>
      <c r="J145" s="357">
        <v>2.2999999999999998</v>
      </c>
      <c r="K145" s="357">
        <v>9.6</v>
      </c>
      <c r="L145" s="357"/>
      <c r="M145" s="353">
        <f>((J145+J144)*K145)/2</f>
        <v>18.239999999999998</v>
      </c>
      <c r="N145" s="354"/>
      <c r="O145" s="354"/>
      <c r="P145" s="354"/>
      <c r="Q145" s="354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 s="355"/>
      <c r="C146" s="305">
        <v>9</v>
      </c>
      <c r="D146" s="343">
        <v>1.5</v>
      </c>
      <c r="E146" s="343">
        <v>2.95</v>
      </c>
      <c r="F146" s="343">
        <f>(1.2*1.4)*2</f>
        <v>3.36</v>
      </c>
      <c r="G146" s="343">
        <f t="shared" si="18"/>
        <v>1.0650000000000008</v>
      </c>
      <c r="H146" s="354"/>
      <c r="I146" s="305">
        <v>15</v>
      </c>
      <c r="J146" s="357">
        <v>2.2999999999999998</v>
      </c>
      <c r="K146" s="357">
        <v>10.5</v>
      </c>
      <c r="L146" s="357"/>
      <c r="M146" s="353">
        <f>(J146*K146)-L146</f>
        <v>24.15</v>
      </c>
      <c r="N146" s="354"/>
      <c r="O146" s="354"/>
      <c r="P146" s="354"/>
      <c r="Q146" s="354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 s="355"/>
      <c r="C147" s="305">
        <v>10</v>
      </c>
      <c r="D147" s="343">
        <v>1.5</v>
      </c>
      <c r="E147" s="343">
        <v>7.4</v>
      </c>
      <c r="F147" s="355"/>
      <c r="G147" s="343">
        <f t="shared" si="18"/>
        <v>11.100000000000001</v>
      </c>
      <c r="H147" s="354"/>
      <c r="I147" s="305">
        <v>16</v>
      </c>
      <c r="J147" s="357">
        <v>0.95</v>
      </c>
      <c r="K147" s="357">
        <v>1.55</v>
      </c>
      <c r="L147" s="357"/>
      <c r="M147" s="353">
        <f>(J147*K147)-L147</f>
        <v>1.4724999999999999</v>
      </c>
      <c r="N147" s="354"/>
      <c r="O147" s="354"/>
      <c r="P147" s="354"/>
      <c r="Q147" s="354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 s="434" t="s">
        <v>98</v>
      </c>
      <c r="C148" s="435"/>
      <c r="D148" s="435"/>
      <c r="E148" s="435"/>
      <c r="F148" s="436"/>
      <c r="G148" s="342">
        <f>SUM(G144:G147)</f>
        <v>17.715000000000003</v>
      </c>
      <c r="H148" s="354"/>
      <c r="I148" s="305" t="s">
        <v>673</v>
      </c>
      <c r="J148" s="357">
        <v>0.15</v>
      </c>
      <c r="K148" s="357">
        <v>9.9</v>
      </c>
      <c r="L148" s="357"/>
      <c r="M148" s="353">
        <f>((J147+J148)*K148)/2</f>
        <v>5.4449999999999994</v>
      </c>
      <c r="N148" s="354"/>
      <c r="O148" s="354"/>
      <c r="P148" s="354"/>
      <c r="Q148" s="354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 s="305" t="s">
        <v>678</v>
      </c>
      <c r="C149" s="305">
        <v>2</v>
      </c>
      <c r="D149" s="343">
        <v>3</v>
      </c>
      <c r="E149" s="343">
        <v>1.65</v>
      </c>
      <c r="F149" s="343"/>
      <c r="G149" s="343">
        <f t="shared" ref="G149:G153" si="19">(D149*E149)-F149</f>
        <v>4.9499999999999993</v>
      </c>
      <c r="H149" s="354"/>
      <c r="I149" s="305">
        <v>18</v>
      </c>
      <c r="J149" s="357">
        <v>0.15</v>
      </c>
      <c r="K149" s="357">
        <v>0.16</v>
      </c>
      <c r="L149" s="357"/>
      <c r="M149" s="353">
        <f>J149*K149</f>
        <v>2.4E-2</v>
      </c>
      <c r="N149" s="354"/>
      <c r="O149" s="354"/>
      <c r="P149" s="354"/>
      <c r="Q149" s="354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 s="355"/>
      <c r="C150" s="305">
        <v>3</v>
      </c>
      <c r="D150" s="343">
        <v>3</v>
      </c>
      <c r="E150" s="343">
        <v>1.8</v>
      </c>
      <c r="F150" s="343"/>
      <c r="G150" s="343">
        <f t="shared" si="19"/>
        <v>5.4</v>
      </c>
      <c r="H150" s="354"/>
      <c r="I150" s="305">
        <v>19</v>
      </c>
      <c r="J150" s="357">
        <v>1.5</v>
      </c>
      <c r="K150" s="357">
        <v>9.9</v>
      </c>
      <c r="L150" s="357"/>
      <c r="M150" s="353">
        <f>((J150+J149)*K150)/2</f>
        <v>8.1675000000000004</v>
      </c>
      <c r="N150" s="354"/>
      <c r="O150" s="354"/>
      <c r="P150" s="354"/>
      <c r="Q150" s="354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 s="355"/>
      <c r="C151" s="305">
        <v>5</v>
      </c>
      <c r="D151" s="343">
        <v>3</v>
      </c>
      <c r="E151" s="343">
        <v>4.3499999999999996</v>
      </c>
      <c r="F151" s="355"/>
      <c r="G151" s="343">
        <f t="shared" si="19"/>
        <v>13.049999999999999</v>
      </c>
      <c r="H151" s="354"/>
      <c r="I151" s="305">
        <v>20</v>
      </c>
      <c r="J151" s="357">
        <v>1.5</v>
      </c>
      <c r="K151" s="357">
        <v>1.55</v>
      </c>
      <c r="L151" s="357"/>
      <c r="M151" s="353">
        <f>J151*K151</f>
        <v>2.3250000000000002</v>
      </c>
      <c r="N151" s="354"/>
      <c r="O151" s="354"/>
      <c r="P151" s="354"/>
      <c r="Q151" s="354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 s="355"/>
      <c r="C152" s="305">
        <v>6</v>
      </c>
      <c r="D152" s="343">
        <v>3</v>
      </c>
      <c r="E152" s="343">
        <v>3.18</v>
      </c>
      <c r="F152" s="355">
        <f>(0.8*1.5)*2</f>
        <v>2.4000000000000004</v>
      </c>
      <c r="G152" s="343">
        <f t="shared" si="19"/>
        <v>7.1400000000000006</v>
      </c>
      <c r="H152" s="354"/>
      <c r="I152" s="305">
        <v>21</v>
      </c>
      <c r="J152" s="353">
        <v>5.85</v>
      </c>
      <c r="K152" s="357">
        <v>7.95</v>
      </c>
      <c r="L152" s="357"/>
      <c r="M152" s="353">
        <f>(J152*K152)-L152</f>
        <v>46.5075</v>
      </c>
      <c r="N152" s="354"/>
      <c r="O152" s="354"/>
      <c r="P152" s="354"/>
      <c r="Q152" s="354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 s="355"/>
      <c r="C153" s="355">
        <v>7</v>
      </c>
      <c r="D153" s="343">
        <v>3</v>
      </c>
      <c r="E153" s="343">
        <v>4.3499999999999996</v>
      </c>
      <c r="F153" s="355"/>
      <c r="G153" s="343">
        <f t="shared" si="19"/>
        <v>13.049999999999999</v>
      </c>
      <c r="H153" s="354"/>
      <c r="I153" s="305">
        <v>22</v>
      </c>
      <c r="J153" s="357">
        <v>5.35</v>
      </c>
      <c r="K153" s="357">
        <v>6.5</v>
      </c>
      <c r="L153" s="357">
        <f>6.1*2.45</f>
        <v>14.945</v>
      </c>
      <c r="M153" s="353">
        <f>(J153*K153)-L153</f>
        <v>19.829999999999998</v>
      </c>
      <c r="N153" s="354"/>
      <c r="O153" s="354"/>
      <c r="P153" s="354"/>
      <c r="Q153" s="354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 s="434" t="s">
        <v>98</v>
      </c>
      <c r="C154" s="435"/>
      <c r="D154" s="435"/>
      <c r="E154" s="435"/>
      <c r="F154" s="436"/>
      <c r="G154" s="342">
        <f>SUM(G149:G153)</f>
        <v>43.589999999999996</v>
      </c>
      <c r="H154" s="354"/>
      <c r="I154" s="305">
        <v>23</v>
      </c>
      <c r="J154" s="357">
        <v>1.1000000000000001</v>
      </c>
      <c r="K154" s="357">
        <v>0.8</v>
      </c>
      <c r="L154" s="357"/>
      <c r="M154" s="353">
        <f>(J154*K154)-L154</f>
        <v>0.88000000000000012</v>
      </c>
      <c r="N154" s="354"/>
      <c r="O154" s="354"/>
      <c r="P154" s="354"/>
      <c r="Q154" s="3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 s="305" t="s">
        <v>679</v>
      </c>
      <c r="C155" s="305">
        <v>1</v>
      </c>
      <c r="D155" s="343">
        <v>3</v>
      </c>
      <c r="E155" s="343">
        <v>1.52</v>
      </c>
      <c r="F155" s="343">
        <f>1.3*1.1</f>
        <v>1.4300000000000002</v>
      </c>
      <c r="G155" s="343">
        <f>(D155*E155)-F155</f>
        <v>3.1300000000000003</v>
      </c>
      <c r="H155" s="354"/>
      <c r="I155" s="305" t="s">
        <v>675</v>
      </c>
      <c r="J155" s="357">
        <v>2.2999999999999998</v>
      </c>
      <c r="K155" s="357">
        <v>2.12</v>
      </c>
      <c r="L155" s="357"/>
      <c r="M155" s="353">
        <f>((J154+J155)*K155)/2</f>
        <v>3.6040000000000001</v>
      </c>
      <c r="N155" s="354"/>
      <c r="O155" s="354"/>
      <c r="P155" s="354"/>
      <c r="Q155" s="354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 s="355"/>
      <c r="C156" s="305">
        <v>2</v>
      </c>
      <c r="D156" s="343">
        <v>3</v>
      </c>
      <c r="E156" s="343">
        <v>5.5</v>
      </c>
      <c r="F156" s="343"/>
      <c r="G156" s="343">
        <f>(D156*E156)-F156</f>
        <v>16.5</v>
      </c>
      <c r="H156" s="354"/>
      <c r="I156" s="305" t="s">
        <v>676</v>
      </c>
      <c r="J156" s="357">
        <v>2.2999999999999998</v>
      </c>
      <c r="K156" s="357">
        <v>2.3199999999999998</v>
      </c>
      <c r="L156" s="357"/>
      <c r="M156" s="353">
        <f>((J156+J154)*K156)/2</f>
        <v>3.9439999999999995</v>
      </c>
      <c r="N156" s="354"/>
      <c r="O156" s="354"/>
      <c r="P156" s="354"/>
      <c r="Q156" s="354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 s="355"/>
      <c r="C157" s="305">
        <v>3</v>
      </c>
      <c r="D157" s="343">
        <v>3</v>
      </c>
      <c r="E157" s="343">
        <v>1.52</v>
      </c>
      <c r="F157" s="355">
        <f>(0.8*1.5)</f>
        <v>1.2000000000000002</v>
      </c>
      <c r="G157" s="343">
        <f>(D157*E157)-F157</f>
        <v>3.3600000000000003</v>
      </c>
      <c r="H157" s="354"/>
      <c r="I157" s="305" t="s">
        <v>677</v>
      </c>
      <c r="J157" s="357">
        <v>5.35</v>
      </c>
      <c r="K157" s="357">
        <v>2.25</v>
      </c>
      <c r="L157" s="357"/>
      <c r="M157" s="353">
        <f>((J157+J158)*K157)/2</f>
        <v>10.518749999999999</v>
      </c>
      <c r="N157" s="354"/>
      <c r="O157" s="354"/>
      <c r="P157" s="354"/>
      <c r="Q157" s="354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 s="355"/>
      <c r="C158" s="305">
        <v>4</v>
      </c>
      <c r="D158" s="343">
        <v>3</v>
      </c>
      <c r="E158" s="343">
        <v>5.5</v>
      </c>
      <c r="F158" s="343">
        <f>2.1*0.8</f>
        <v>1.6800000000000002</v>
      </c>
      <c r="G158" s="343">
        <f>(D158*E158)-F158</f>
        <v>14.82</v>
      </c>
      <c r="H158" s="354"/>
      <c r="I158" s="305">
        <v>27</v>
      </c>
      <c r="J158" s="357">
        <v>4</v>
      </c>
      <c r="K158" s="357">
        <v>4</v>
      </c>
      <c r="L158" s="357">
        <f>4*2.65</f>
        <v>10.6</v>
      </c>
      <c r="M158" s="353">
        <f>((J158*K158)-L158)*2</f>
        <v>10.8</v>
      </c>
      <c r="N158" s="354"/>
      <c r="O158" s="354"/>
      <c r="P158" s="354"/>
      <c r="Q158" s="354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 s="434" t="s">
        <v>98</v>
      </c>
      <c r="C159" s="435"/>
      <c r="D159" s="435"/>
      <c r="E159" s="435"/>
      <c r="F159" s="436"/>
      <c r="G159" s="344">
        <f>SUM(G155:G158)</f>
        <v>37.81</v>
      </c>
      <c r="H159" s="354"/>
      <c r="I159" s="305">
        <v>28</v>
      </c>
      <c r="J159" s="357">
        <v>4.95</v>
      </c>
      <c r="K159" s="357">
        <v>2.25</v>
      </c>
      <c r="L159" s="357"/>
      <c r="M159" s="353">
        <f>((J158+J159)*K159)/2</f>
        <v>10.06875</v>
      </c>
      <c r="N159" s="354"/>
      <c r="O159" s="354"/>
      <c r="P159" s="354"/>
      <c r="Q159" s="354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 s="354"/>
      <c r="C160" s="354"/>
      <c r="D160" s="354"/>
      <c r="E160" s="354"/>
      <c r="F160" s="354"/>
      <c r="G160" s="354"/>
      <c r="H160" s="354"/>
      <c r="I160" s="305">
        <v>29</v>
      </c>
      <c r="J160" s="357">
        <v>4.95</v>
      </c>
      <c r="K160" s="357">
        <v>6.7</v>
      </c>
      <c r="L160" s="357">
        <f>6.1*2.45</f>
        <v>14.945</v>
      </c>
      <c r="M160" s="353">
        <f>((J158+J160)*K160)/2</f>
        <v>29.982499999999998</v>
      </c>
      <c r="N160" s="354"/>
      <c r="O160" s="354"/>
      <c r="P160" s="354"/>
      <c r="Q160" s="354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 s="354"/>
      <c r="C161" s="354"/>
      <c r="D161" s="354"/>
      <c r="E161" s="354"/>
      <c r="F161" s="354"/>
      <c r="G161" s="354"/>
      <c r="H161" s="354"/>
      <c r="I161" s="305">
        <v>38</v>
      </c>
      <c r="J161" s="353">
        <v>5.35</v>
      </c>
      <c r="K161" s="357">
        <f>1.1*3</f>
        <v>3.3000000000000003</v>
      </c>
      <c r="L161" s="357"/>
      <c r="M161" s="353">
        <f t="shared" ref="M161:M163" si="20">(J161*K161)-L161</f>
        <v>17.655000000000001</v>
      </c>
      <c r="N161" s="354"/>
      <c r="O161" s="354"/>
      <c r="P161" s="354"/>
      <c r="Q161" s="354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 s="354"/>
      <c r="C162" s="354"/>
      <c r="D162" s="354"/>
      <c r="E162" s="354"/>
      <c r="F162" s="354"/>
      <c r="G162" s="354"/>
      <c r="H162" s="354"/>
      <c r="I162" s="305">
        <v>39</v>
      </c>
      <c r="J162" s="355">
        <v>1.35</v>
      </c>
      <c r="K162" s="355">
        <v>4.8499999999999996</v>
      </c>
      <c r="L162" s="355"/>
      <c r="M162" s="343">
        <f t="shared" si="20"/>
        <v>6.5475000000000003</v>
      </c>
      <c r="N162" s="354"/>
      <c r="O162" s="354"/>
      <c r="P162" s="354"/>
      <c r="Q162" s="354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 s="354"/>
      <c r="C163" s="354"/>
      <c r="D163" s="354"/>
      <c r="E163" s="354"/>
      <c r="F163" s="354"/>
      <c r="G163" s="354"/>
      <c r="H163" s="354"/>
      <c r="I163" s="305">
        <v>40</v>
      </c>
      <c r="J163" s="355">
        <v>0.35</v>
      </c>
      <c r="K163" s="355">
        <v>4.8499999999999996</v>
      </c>
      <c r="L163" s="355"/>
      <c r="M163" s="343">
        <f t="shared" si="20"/>
        <v>1.6974999999999998</v>
      </c>
      <c r="N163" s="354"/>
      <c r="O163" s="354"/>
      <c r="P163" s="354"/>
      <c r="Q163" s="354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 s="354"/>
      <c r="C164" s="354"/>
      <c r="D164" s="354"/>
      <c r="E164" s="354"/>
      <c r="F164" s="354"/>
      <c r="G164" s="354"/>
      <c r="H164" s="354"/>
      <c r="I164" s="305" t="s">
        <v>98</v>
      </c>
      <c r="J164" s="305"/>
      <c r="K164" s="305"/>
      <c r="L164" s="305"/>
      <c r="M164" s="342">
        <f>SUM(M132:M163)</f>
        <v>474.52550000000008</v>
      </c>
      <c r="N164" s="354"/>
      <c r="O164" s="354"/>
      <c r="P164" s="354"/>
      <c r="Q164" s="35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 s="438" t="s">
        <v>775</v>
      </c>
      <c r="C166" s="438"/>
      <c r="D166" s="438"/>
      <c r="E166" s="438"/>
      <c r="F166" s="438"/>
      <c r="G166" s="438"/>
      <c r="H166" s="438"/>
      <c r="I166" s="438"/>
      <c r="J166" s="438"/>
      <c r="K166" s="438"/>
      <c r="L166" s="438"/>
      <c r="M166" s="438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 s="437">
        <f>G136+G143+G148+G154+G159+M164</f>
        <v>673.71050000000014</v>
      </c>
      <c r="C167" s="438"/>
      <c r="D167" s="438"/>
      <c r="E167" s="438"/>
      <c r="F167" s="438"/>
      <c r="G167" s="438"/>
      <c r="H167" s="438"/>
      <c r="I167" s="438"/>
      <c r="J167" s="438"/>
      <c r="K167" s="438"/>
      <c r="L167" s="438"/>
      <c r="M167" s="438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 s="272"/>
      <c r="C169" s="370" t="s">
        <v>894</v>
      </c>
      <c r="D169" s="370"/>
      <c r="E169" s="370"/>
      <c r="F169" s="272"/>
      <c r="G169" s="272"/>
      <c r="H169" s="272"/>
      <c r="I169" s="272"/>
      <c r="J169" s="272"/>
      <c r="K169" s="272"/>
      <c r="L169" s="272"/>
      <c r="M169" s="272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 s="272"/>
      <c r="C170" s="261"/>
      <c r="D170" s="6"/>
      <c r="E170" s="262"/>
      <c r="F170" s="272"/>
      <c r="G170" s="272"/>
      <c r="H170" s="272"/>
      <c r="I170" s="272"/>
      <c r="J170" s="272"/>
      <c r="K170" s="272"/>
      <c r="L170" s="272"/>
      <c r="M170" s="272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 s="272"/>
      <c r="C171" s="261"/>
      <c r="D171" s="6"/>
      <c r="E171" s="261" t="s">
        <v>99</v>
      </c>
      <c r="F171" s="272"/>
      <c r="G171" s="272"/>
      <c r="H171" s="272"/>
      <c r="I171" s="272"/>
      <c r="J171" s="272"/>
      <c r="K171" s="272"/>
      <c r="L171" s="272"/>
      <c r="M171" s="272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 s="272"/>
      <c r="C172" s="261"/>
      <c r="D172" s="6"/>
      <c r="E172" s="264" t="s">
        <v>515</v>
      </c>
      <c r="F172" s="272"/>
      <c r="G172" s="272"/>
      <c r="H172" s="272"/>
      <c r="I172" s="272"/>
      <c r="J172" s="272"/>
      <c r="K172" s="272"/>
      <c r="L172" s="272"/>
      <c r="M172" s="2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 s="272"/>
      <c r="C173" s="261"/>
      <c r="D173" s="6"/>
      <c r="E173" s="264" t="s">
        <v>517</v>
      </c>
      <c r="F173" s="272"/>
      <c r="G173" s="272"/>
      <c r="H173" s="272"/>
      <c r="I173" s="272"/>
      <c r="J173" s="272"/>
      <c r="K173" s="272"/>
      <c r="L173" s="272"/>
      <c r="M173" s="272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 s="272"/>
      <c r="C174" s="261"/>
      <c r="D174" s="6"/>
      <c r="E174" s="264" t="s">
        <v>94</v>
      </c>
      <c r="F174" s="272"/>
      <c r="G174" s="272"/>
      <c r="H174" s="272"/>
      <c r="I174" s="272"/>
      <c r="J174" s="272"/>
      <c r="K174" s="272"/>
      <c r="L174" s="272"/>
      <c r="M174" s="272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 s="272"/>
      <c r="C175" s="261"/>
      <c r="D175" s="6"/>
      <c r="E175" s="264" t="s">
        <v>95</v>
      </c>
      <c r="F175" s="272"/>
      <c r="G175" s="272"/>
      <c r="H175" s="272"/>
      <c r="I175" s="272"/>
      <c r="J175" s="272"/>
      <c r="K175" s="272"/>
      <c r="L175" s="272"/>
      <c r="M175" s="272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  <row r="178" spans="2:28"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</row>
    <row r="179" spans="2:28"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</row>
    <row r="180" spans="2:28"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</row>
  </sheetData>
  <mergeCells count="51">
    <mergeCell ref="O2:P2"/>
    <mergeCell ref="O15:P15"/>
    <mergeCell ref="O16:P16"/>
    <mergeCell ref="C169:E169"/>
    <mergeCell ref="B8:F8"/>
    <mergeCell ref="B15:F15"/>
    <mergeCell ref="B26:F26"/>
    <mergeCell ref="B2:G2"/>
    <mergeCell ref="B47:M47"/>
    <mergeCell ref="P107:U107"/>
    <mergeCell ref="I81:J81"/>
    <mergeCell ref="P115:T115"/>
    <mergeCell ref="B63:F63"/>
    <mergeCell ref="P120:T120"/>
    <mergeCell ref="B50:G50"/>
    <mergeCell ref="I50:M50"/>
    <mergeCell ref="B56:F56"/>
    <mergeCell ref="I2:M2"/>
    <mergeCell ref="B31:F31"/>
    <mergeCell ref="B39:F39"/>
    <mergeCell ref="B44:F44"/>
    <mergeCell ref="B46:M46"/>
    <mergeCell ref="P126:U126"/>
    <mergeCell ref="P127:U127"/>
    <mergeCell ref="B72:F72"/>
    <mergeCell ref="B77:F77"/>
    <mergeCell ref="B83:F83"/>
    <mergeCell ref="B88:F88"/>
    <mergeCell ref="B95:F95"/>
    <mergeCell ref="B100:F100"/>
    <mergeCell ref="B103:M103"/>
    <mergeCell ref="B104:M104"/>
    <mergeCell ref="B107:G107"/>
    <mergeCell ref="I107:N107"/>
    <mergeCell ref="B115:F115"/>
    <mergeCell ref="I119:M119"/>
    <mergeCell ref="B120:F120"/>
    <mergeCell ref="B122:G122"/>
    <mergeCell ref="B123:G123"/>
    <mergeCell ref="I124:M124"/>
    <mergeCell ref="I126:N126"/>
    <mergeCell ref="I127:N127"/>
    <mergeCell ref="B130:G130"/>
    <mergeCell ref="I130:M130"/>
    <mergeCell ref="B136:F136"/>
    <mergeCell ref="B167:M167"/>
    <mergeCell ref="B143:F143"/>
    <mergeCell ref="B148:F148"/>
    <mergeCell ref="B154:F154"/>
    <mergeCell ref="B159:F159"/>
    <mergeCell ref="B166:M166"/>
  </mergeCells>
  <pageMargins left="0.23622047244094491" right="0.23622047244094491" top="0.39370078740157483" bottom="0.39370078740157483" header="0.19685039370078741" footer="0.31496062992125984"/>
  <pageSetup paperSize="9" scale="3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workbookViewId="0">
      <selection sqref="A1:K28"/>
    </sheetView>
  </sheetViews>
  <sheetFormatPr defaultRowHeight="12.75"/>
  <sheetData>
    <row r="1" spans="1:11" ht="15.75" thickBot="1">
      <c r="A1" s="478" t="s">
        <v>801</v>
      </c>
      <c r="B1" s="479"/>
      <c r="C1" s="479"/>
      <c r="D1" s="479"/>
      <c r="E1" s="480"/>
      <c r="G1" s="478" t="s">
        <v>802</v>
      </c>
      <c r="H1" s="479"/>
      <c r="I1" s="479"/>
      <c r="J1" s="479"/>
      <c r="K1" s="480"/>
    </row>
    <row r="2" spans="1:11" ht="15.75" thickBot="1">
      <c r="A2" s="191" t="s">
        <v>96</v>
      </c>
      <c r="B2" s="192" t="s">
        <v>803</v>
      </c>
      <c r="C2" s="193" t="s">
        <v>804</v>
      </c>
      <c r="D2" s="194" t="s">
        <v>805</v>
      </c>
      <c r="E2" s="195" t="s">
        <v>806</v>
      </c>
      <c r="G2" s="306" t="s">
        <v>803</v>
      </c>
      <c r="H2" s="307" t="s">
        <v>807</v>
      </c>
      <c r="I2" s="196" t="s">
        <v>804</v>
      </c>
      <c r="J2" s="307" t="s">
        <v>805</v>
      </c>
      <c r="K2" s="197" t="s">
        <v>806</v>
      </c>
    </row>
    <row r="3" spans="1:11">
      <c r="A3" s="481" t="s">
        <v>808</v>
      </c>
      <c r="B3" s="198">
        <v>0.15</v>
      </c>
      <c r="C3" s="199">
        <v>8.39</v>
      </c>
      <c r="D3" s="198">
        <v>0.4</v>
      </c>
      <c r="E3" s="200">
        <f t="shared" ref="E3:E19" si="0">B3*C3*D3</f>
        <v>0.50339999999999996</v>
      </c>
      <c r="G3" s="201">
        <v>0.04</v>
      </c>
      <c r="H3" s="198">
        <f>B3-G3</f>
        <v>0.10999999999999999</v>
      </c>
      <c r="I3" s="199">
        <v>8.39</v>
      </c>
      <c r="J3" s="198">
        <v>0.4</v>
      </c>
      <c r="K3" s="202">
        <f>H3*I3*J3</f>
        <v>0.36915999999999999</v>
      </c>
    </row>
    <row r="4" spans="1:11">
      <c r="A4" s="482"/>
      <c r="B4" s="203">
        <v>0.15</v>
      </c>
      <c r="C4" s="204">
        <v>15.57</v>
      </c>
      <c r="D4" s="203">
        <v>0.4</v>
      </c>
      <c r="E4" s="205">
        <f t="shared" si="0"/>
        <v>0.93420000000000014</v>
      </c>
      <c r="G4" s="206">
        <v>0.05</v>
      </c>
      <c r="H4" s="203">
        <f t="shared" ref="H4:H19" si="1">B4-G4</f>
        <v>9.9999999999999992E-2</v>
      </c>
      <c r="I4" s="204">
        <v>15.57</v>
      </c>
      <c r="J4" s="203">
        <v>0.4</v>
      </c>
      <c r="K4" s="207">
        <f t="shared" ref="K4:K19" si="2">H4*I4*J4</f>
        <v>0.62280000000000002</v>
      </c>
    </row>
    <row r="5" spans="1:11">
      <c r="A5" s="482"/>
      <c r="B5" s="203">
        <v>0.15</v>
      </c>
      <c r="C5" s="204">
        <v>12.91</v>
      </c>
      <c r="D5" s="203">
        <v>0.4</v>
      </c>
      <c r="E5" s="205">
        <f t="shared" si="0"/>
        <v>0.77459999999999996</v>
      </c>
      <c r="G5" s="206">
        <v>7.4999999999999997E-2</v>
      </c>
      <c r="H5" s="203">
        <f t="shared" si="1"/>
        <v>7.4999999999999997E-2</v>
      </c>
      <c r="I5" s="204">
        <v>12.91</v>
      </c>
      <c r="J5" s="203">
        <v>0.4</v>
      </c>
      <c r="K5" s="207">
        <f t="shared" si="2"/>
        <v>0.38729999999999998</v>
      </c>
    </row>
    <row r="6" spans="1:11">
      <c r="A6" s="482"/>
      <c r="B6" s="203">
        <v>0.15</v>
      </c>
      <c r="C6" s="204">
        <v>17.43</v>
      </c>
      <c r="D6" s="203">
        <v>0.4</v>
      </c>
      <c r="E6" s="205">
        <f t="shared" si="0"/>
        <v>1.0458000000000001</v>
      </c>
      <c r="G6" s="206">
        <v>0.1</v>
      </c>
      <c r="H6" s="203">
        <f t="shared" si="1"/>
        <v>4.9999999999999989E-2</v>
      </c>
      <c r="I6" s="204">
        <v>17.43</v>
      </c>
      <c r="J6" s="203">
        <v>0.4</v>
      </c>
      <c r="K6" s="207">
        <f t="shared" si="2"/>
        <v>0.34859999999999997</v>
      </c>
    </row>
    <row r="7" spans="1:11" ht="13.5" thickBot="1">
      <c r="A7" s="483"/>
      <c r="B7" s="208">
        <v>0.2</v>
      </c>
      <c r="C7" s="209">
        <v>49.88</v>
      </c>
      <c r="D7" s="208">
        <v>0.4</v>
      </c>
      <c r="E7" s="210">
        <f t="shared" si="0"/>
        <v>3.9904000000000006</v>
      </c>
      <c r="G7" s="206">
        <v>0.15</v>
      </c>
      <c r="H7" s="203">
        <f t="shared" si="1"/>
        <v>5.0000000000000017E-2</v>
      </c>
      <c r="I7" s="204">
        <v>49.88</v>
      </c>
      <c r="J7" s="203">
        <v>0.4</v>
      </c>
      <c r="K7" s="207">
        <f t="shared" si="2"/>
        <v>0.99760000000000049</v>
      </c>
    </row>
    <row r="8" spans="1:11">
      <c r="A8" s="484" t="s">
        <v>809</v>
      </c>
      <c r="B8" s="211">
        <v>0.15</v>
      </c>
      <c r="C8" s="212">
        <v>3.75</v>
      </c>
      <c r="D8" s="211">
        <v>0.45</v>
      </c>
      <c r="E8" s="213">
        <f t="shared" si="0"/>
        <v>0.25312499999999999</v>
      </c>
      <c r="G8" s="214">
        <v>2.1999999999999999E-2</v>
      </c>
      <c r="H8" s="215">
        <f t="shared" si="1"/>
        <v>0.128</v>
      </c>
      <c r="I8" s="216">
        <v>3.75</v>
      </c>
      <c r="J8" s="215">
        <v>0.45</v>
      </c>
      <c r="K8" s="217">
        <f t="shared" si="2"/>
        <v>0.216</v>
      </c>
    </row>
    <row r="9" spans="1:11">
      <c r="A9" s="485"/>
      <c r="B9" s="215">
        <v>0.15</v>
      </c>
      <c r="C9" s="218">
        <v>0.45</v>
      </c>
      <c r="D9" s="215">
        <v>0.45</v>
      </c>
      <c r="E9" s="219">
        <f t="shared" si="0"/>
        <v>3.0375000000000003E-2</v>
      </c>
      <c r="G9" s="214">
        <v>2.1999999999999999E-2</v>
      </c>
      <c r="H9" s="215">
        <f t="shared" si="1"/>
        <v>0.128</v>
      </c>
      <c r="I9" s="218">
        <v>0.45</v>
      </c>
      <c r="J9" s="215">
        <v>0.45</v>
      </c>
      <c r="K9" s="217">
        <f t="shared" si="2"/>
        <v>2.5920000000000002E-2</v>
      </c>
    </row>
    <row r="10" spans="1:11">
      <c r="A10" s="485"/>
      <c r="B10" s="215">
        <v>0.3</v>
      </c>
      <c r="C10" s="218">
        <v>1</v>
      </c>
      <c r="D10" s="215">
        <v>1.45</v>
      </c>
      <c r="E10" s="219">
        <f t="shared" si="0"/>
        <v>0.435</v>
      </c>
      <c r="G10" s="214">
        <v>2.1999999999999999E-2</v>
      </c>
      <c r="H10" s="215">
        <f t="shared" si="1"/>
        <v>0.27799999999999997</v>
      </c>
      <c r="I10" s="218">
        <v>1</v>
      </c>
      <c r="J10" s="215">
        <v>1.45</v>
      </c>
      <c r="K10" s="217">
        <f t="shared" si="2"/>
        <v>0.40309999999999996</v>
      </c>
    </row>
    <row r="11" spans="1:11">
      <c r="A11" s="485"/>
      <c r="B11" s="215">
        <v>0.3</v>
      </c>
      <c r="C11" s="218">
        <v>2.65</v>
      </c>
      <c r="D11" s="215">
        <v>1.35</v>
      </c>
      <c r="E11" s="219">
        <f t="shared" si="0"/>
        <v>1.07325</v>
      </c>
      <c r="G11" s="214">
        <v>2.1999999999999999E-2</v>
      </c>
      <c r="H11" s="215">
        <f t="shared" si="1"/>
        <v>0.27799999999999997</v>
      </c>
      <c r="I11" s="218">
        <v>2.65</v>
      </c>
      <c r="J11" s="215">
        <v>1.35</v>
      </c>
      <c r="K11" s="217">
        <f t="shared" si="2"/>
        <v>0.9945449999999999</v>
      </c>
    </row>
    <row r="12" spans="1:11" ht="13.5" thickBot="1">
      <c r="A12" s="486"/>
      <c r="B12" s="220">
        <v>0.3</v>
      </c>
      <c r="C12" s="221">
        <v>1.35</v>
      </c>
      <c r="D12" s="220">
        <v>1.35</v>
      </c>
      <c r="E12" s="222">
        <f t="shared" si="0"/>
        <v>0.54675000000000007</v>
      </c>
      <c r="G12" s="214">
        <v>2.1999999999999999E-2</v>
      </c>
      <c r="H12" s="215">
        <f t="shared" si="1"/>
        <v>0.27799999999999997</v>
      </c>
      <c r="I12" s="218">
        <v>1.35</v>
      </c>
      <c r="J12" s="215">
        <v>1.35</v>
      </c>
      <c r="K12" s="217">
        <f t="shared" si="2"/>
        <v>0.50665499999999997</v>
      </c>
    </row>
    <row r="13" spans="1:11">
      <c r="A13" s="487" t="s">
        <v>810</v>
      </c>
      <c r="B13" s="223">
        <v>0.4</v>
      </c>
      <c r="C13" s="224">
        <v>8.4499999999999993</v>
      </c>
      <c r="D13" s="224">
        <v>0.3</v>
      </c>
      <c r="E13" s="225">
        <f t="shared" si="0"/>
        <v>1.014</v>
      </c>
      <c r="G13" s="226">
        <v>0.2</v>
      </c>
      <c r="H13" s="227">
        <f t="shared" si="1"/>
        <v>0.2</v>
      </c>
      <c r="I13" s="228">
        <v>8.4499999999999993</v>
      </c>
      <c r="J13" s="228">
        <v>0.3</v>
      </c>
      <c r="K13" s="229">
        <f t="shared" si="2"/>
        <v>0.50700000000000001</v>
      </c>
    </row>
    <row r="14" spans="1:11">
      <c r="A14" s="488"/>
      <c r="B14" s="227">
        <v>0.4</v>
      </c>
      <c r="C14" s="228">
        <v>9.6999999999999993</v>
      </c>
      <c r="D14" s="228">
        <v>0.3</v>
      </c>
      <c r="E14" s="230">
        <f t="shared" si="0"/>
        <v>1.1639999999999999</v>
      </c>
      <c r="G14" s="226">
        <v>0.2</v>
      </c>
      <c r="H14" s="227">
        <f t="shared" si="1"/>
        <v>0.2</v>
      </c>
      <c r="I14" s="228">
        <v>9.6999999999999993</v>
      </c>
      <c r="J14" s="228">
        <v>0.3</v>
      </c>
      <c r="K14" s="229">
        <f t="shared" si="2"/>
        <v>0.58199999999999996</v>
      </c>
    </row>
    <row r="15" spans="1:11">
      <c r="A15" s="488"/>
      <c r="B15" s="231">
        <v>0.4</v>
      </c>
      <c r="C15" s="232">
        <v>11.25</v>
      </c>
      <c r="D15" s="232">
        <v>0.3</v>
      </c>
      <c r="E15" s="233">
        <f t="shared" si="0"/>
        <v>1.3499999999999999</v>
      </c>
      <c r="G15" s="226">
        <v>0.2</v>
      </c>
      <c r="H15" s="227">
        <f t="shared" si="1"/>
        <v>0.2</v>
      </c>
      <c r="I15" s="228">
        <v>11.25</v>
      </c>
      <c r="J15" s="228">
        <v>0.3</v>
      </c>
      <c r="K15" s="229">
        <f t="shared" si="2"/>
        <v>0.67499999999999993</v>
      </c>
    </row>
    <row r="16" spans="1:11">
      <c r="A16" s="488"/>
      <c r="B16" s="231">
        <v>0.4</v>
      </c>
      <c r="C16" s="228">
        <v>3.55</v>
      </c>
      <c r="D16" s="232">
        <v>0.3</v>
      </c>
      <c r="E16" s="233">
        <f t="shared" si="0"/>
        <v>0.42599999999999999</v>
      </c>
      <c r="G16" s="226">
        <v>0.2</v>
      </c>
      <c r="H16" s="227">
        <f t="shared" si="1"/>
        <v>0.2</v>
      </c>
      <c r="I16" s="228">
        <v>3.55</v>
      </c>
      <c r="J16" s="228">
        <v>0.3</v>
      </c>
      <c r="K16" s="229">
        <f t="shared" si="2"/>
        <v>0.21299999999999999</v>
      </c>
    </row>
    <row r="17" spans="1:11">
      <c r="A17" s="488"/>
      <c r="B17" s="231">
        <v>0.4</v>
      </c>
      <c r="C17" s="228">
        <v>4.7</v>
      </c>
      <c r="D17" s="232">
        <v>0.3</v>
      </c>
      <c r="E17" s="233">
        <f t="shared" si="0"/>
        <v>0.56400000000000006</v>
      </c>
      <c r="G17" s="226">
        <v>0.2</v>
      </c>
      <c r="H17" s="227">
        <f t="shared" si="1"/>
        <v>0.2</v>
      </c>
      <c r="I17" s="228">
        <v>4.7</v>
      </c>
      <c r="J17" s="228">
        <v>0.3</v>
      </c>
      <c r="K17" s="229">
        <f t="shared" si="2"/>
        <v>0.28200000000000003</v>
      </c>
    </row>
    <row r="18" spans="1:11">
      <c r="A18" s="488"/>
      <c r="B18" s="231">
        <v>0.4</v>
      </c>
      <c r="C18" s="228">
        <v>3</v>
      </c>
      <c r="D18" s="232">
        <v>0.3</v>
      </c>
      <c r="E18" s="233">
        <f t="shared" si="0"/>
        <v>0.36000000000000004</v>
      </c>
      <c r="G18" s="226">
        <v>0.2</v>
      </c>
      <c r="H18" s="227">
        <f t="shared" si="1"/>
        <v>0.2</v>
      </c>
      <c r="I18" s="228">
        <v>3</v>
      </c>
      <c r="J18" s="228">
        <v>0.3</v>
      </c>
      <c r="K18" s="229">
        <f t="shared" si="2"/>
        <v>0.18000000000000002</v>
      </c>
    </row>
    <row r="19" spans="1:11" ht="13.5" thickBot="1">
      <c r="A19" s="489"/>
      <c r="B19" s="231">
        <v>0.4</v>
      </c>
      <c r="C19" s="232">
        <v>3.2</v>
      </c>
      <c r="D19" s="232">
        <v>0.3</v>
      </c>
      <c r="E19" s="233">
        <f t="shared" si="0"/>
        <v>0.38400000000000006</v>
      </c>
      <c r="G19" s="234">
        <v>0.2</v>
      </c>
      <c r="H19" s="231">
        <f t="shared" si="1"/>
        <v>0.2</v>
      </c>
      <c r="I19" s="232">
        <v>3.2</v>
      </c>
      <c r="J19" s="232">
        <v>0.3</v>
      </c>
      <c r="K19" s="235">
        <f t="shared" si="2"/>
        <v>0.19200000000000003</v>
      </c>
    </row>
    <row r="20" spans="1:11" ht="15.75" thickBot="1">
      <c r="A20" s="476" t="s">
        <v>98</v>
      </c>
      <c r="B20" s="477"/>
      <c r="C20" s="477"/>
      <c r="D20" s="477"/>
      <c r="E20" s="236">
        <f>SUM(E3:E19)</f>
        <v>14.848899999999999</v>
      </c>
      <c r="G20" s="476" t="s">
        <v>98</v>
      </c>
      <c r="H20" s="477"/>
      <c r="I20" s="477"/>
      <c r="J20" s="477"/>
      <c r="K20" s="237">
        <f>SUM(K3:K19)</f>
        <v>7.5026799999999998</v>
      </c>
    </row>
    <row r="22" spans="1:11" ht="14.25">
      <c r="A22" s="272"/>
      <c r="B22" s="370" t="s">
        <v>894</v>
      </c>
      <c r="C22" s="370"/>
      <c r="D22" s="370"/>
      <c r="E22" s="370"/>
      <c r="F22" s="370"/>
      <c r="G22" s="272"/>
      <c r="H22" s="272"/>
      <c r="I22" s="272"/>
      <c r="J22" s="272"/>
      <c r="K22" s="272"/>
    </row>
    <row r="23" spans="1:11" ht="14.25">
      <c r="A23" s="272"/>
      <c r="B23" s="261"/>
      <c r="C23" s="6"/>
      <c r="D23" s="262"/>
      <c r="E23" s="272"/>
      <c r="F23" s="272"/>
      <c r="G23" s="272"/>
      <c r="H23" s="272"/>
      <c r="I23" s="272"/>
      <c r="J23" s="272"/>
      <c r="K23" s="272"/>
    </row>
    <row r="24" spans="1:11" ht="14.25">
      <c r="A24" s="272"/>
      <c r="B24" s="261"/>
      <c r="C24" s="6"/>
      <c r="D24" s="261" t="s">
        <v>99</v>
      </c>
      <c r="E24" s="272"/>
      <c r="F24" s="272"/>
      <c r="G24" s="272"/>
      <c r="H24" s="272"/>
      <c r="I24" s="272"/>
      <c r="J24" s="272"/>
      <c r="K24" s="272"/>
    </row>
    <row r="25" spans="1:11" ht="15">
      <c r="A25" s="272"/>
      <c r="B25" s="261"/>
      <c r="C25" s="6"/>
      <c r="D25" s="264" t="s">
        <v>515</v>
      </c>
      <c r="E25" s="272"/>
      <c r="F25" s="272"/>
      <c r="G25" s="272"/>
      <c r="H25" s="272"/>
      <c r="I25" s="272"/>
      <c r="J25" s="272"/>
      <c r="K25" s="272"/>
    </row>
    <row r="26" spans="1:11" ht="15">
      <c r="A26" s="272"/>
      <c r="B26" s="261"/>
      <c r="C26" s="6"/>
      <c r="D26" s="264" t="s">
        <v>517</v>
      </c>
      <c r="E26" s="272"/>
      <c r="F26" s="272"/>
      <c r="G26" s="272"/>
      <c r="H26" s="272"/>
      <c r="I26" s="272"/>
      <c r="J26" s="272"/>
      <c r="K26" s="272"/>
    </row>
    <row r="27" spans="1:11" ht="15">
      <c r="A27" s="272"/>
      <c r="B27" s="261"/>
      <c r="C27" s="6"/>
      <c r="D27" s="264" t="s">
        <v>94</v>
      </c>
      <c r="E27" s="272"/>
      <c r="F27" s="272"/>
      <c r="G27" s="272"/>
      <c r="H27" s="272"/>
      <c r="I27" s="272"/>
      <c r="J27" s="272"/>
      <c r="K27" s="272"/>
    </row>
    <row r="28" spans="1:11" ht="15">
      <c r="A28" s="272"/>
      <c r="B28" s="261"/>
      <c r="C28" s="6"/>
      <c r="D28" s="264" t="s">
        <v>95</v>
      </c>
      <c r="E28" s="272"/>
      <c r="F28" s="272"/>
      <c r="G28" s="272"/>
      <c r="H28" s="272"/>
      <c r="I28" s="272"/>
      <c r="J28" s="272"/>
      <c r="K28" s="272"/>
    </row>
    <row r="39" spans="8:8">
      <c r="H39" s="242" t="s">
        <v>860</v>
      </c>
    </row>
  </sheetData>
  <mergeCells count="8">
    <mergeCell ref="B22:F22"/>
    <mergeCell ref="A20:D20"/>
    <mergeCell ref="G20:J20"/>
    <mergeCell ref="A1:E1"/>
    <mergeCell ref="G1:K1"/>
    <mergeCell ref="A3:A7"/>
    <mergeCell ref="A8:A12"/>
    <mergeCell ref="A13:A19"/>
  </mergeCells>
  <pageMargins left="0.511811024" right="0.511811024" top="0.78740157499999996" bottom="0.78740157499999996" header="0.31496062000000002" footer="0.31496062000000002"/>
  <pageSetup paperSize="9" scale="92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N38" sqref="N38"/>
    </sheetView>
  </sheetViews>
  <sheetFormatPr defaultRowHeight="12.75"/>
  <cols>
    <col min="2" max="4" width="12" bestFit="1" customWidth="1"/>
    <col min="5" max="5" width="12" customWidth="1"/>
    <col min="6" max="6" width="12.42578125" bestFit="1" customWidth="1"/>
    <col min="7" max="7" width="10" bestFit="1" customWidth="1"/>
  </cols>
  <sheetData>
    <row r="1" spans="1:7" ht="13.5" thickBot="1">
      <c r="A1" s="490" t="s">
        <v>783</v>
      </c>
      <c r="B1" s="491"/>
      <c r="C1" s="491"/>
      <c r="D1" s="492"/>
      <c r="E1" s="185"/>
    </row>
    <row r="2" spans="1:7" ht="13.5" thickBot="1">
      <c r="A2" s="171"/>
      <c r="B2" s="180" t="s">
        <v>787</v>
      </c>
      <c r="C2" s="181" t="s">
        <v>788</v>
      </c>
      <c r="D2" s="183" t="s">
        <v>488</v>
      </c>
      <c r="E2" s="186"/>
      <c r="F2" s="182" t="s">
        <v>799</v>
      </c>
    </row>
    <row r="3" spans="1:7">
      <c r="A3" s="177" t="s">
        <v>784</v>
      </c>
      <c r="B3" s="178">
        <v>11000</v>
      </c>
      <c r="C3" s="178">
        <v>14915.5</v>
      </c>
      <c r="D3" s="178">
        <v>9890</v>
      </c>
      <c r="E3" s="187"/>
      <c r="F3" s="179">
        <f>21.5*1.55</f>
        <v>33.325000000000003</v>
      </c>
    </row>
    <row r="4" spans="1:7">
      <c r="A4" s="169" t="s">
        <v>785</v>
      </c>
      <c r="B4" s="167">
        <v>1500</v>
      </c>
      <c r="C4" s="167">
        <v>2173.5</v>
      </c>
      <c r="D4" s="167">
        <v>1524</v>
      </c>
      <c r="E4" s="187"/>
      <c r="F4" s="176">
        <f>1.2*3</f>
        <v>3.5999999999999996</v>
      </c>
    </row>
    <row r="5" spans="1:7">
      <c r="A5" s="169" t="s">
        <v>786</v>
      </c>
      <c r="B5" s="167">
        <v>2700</v>
      </c>
      <c r="C5" s="167">
        <v>3151</v>
      </c>
      <c r="D5" s="167">
        <v>2451</v>
      </c>
      <c r="E5" s="187"/>
      <c r="F5" s="176">
        <f>2.2*2.5</f>
        <v>5.5</v>
      </c>
    </row>
    <row r="6" spans="1:7" ht="13.5" thickBot="1">
      <c r="A6" s="170" t="s">
        <v>789</v>
      </c>
      <c r="B6" s="168">
        <v>0</v>
      </c>
      <c r="C6" s="168">
        <v>0</v>
      </c>
      <c r="D6" s="168">
        <v>450</v>
      </c>
      <c r="E6" s="187"/>
      <c r="F6" s="176"/>
    </row>
    <row r="7" spans="1:7" ht="13.5" thickBot="1">
      <c r="A7" s="171" t="s">
        <v>98</v>
      </c>
      <c r="B7" s="172">
        <f>SUM(B3:B6)</f>
        <v>15200</v>
      </c>
      <c r="C7" s="173">
        <f t="shared" ref="C7:D7" si="0">SUM(C3:C6)</f>
        <v>20240</v>
      </c>
      <c r="D7" s="174">
        <f t="shared" si="0"/>
        <v>14315</v>
      </c>
      <c r="E7" s="187"/>
      <c r="F7" s="190">
        <f>SUM(F3:F6)</f>
        <v>42.425000000000004</v>
      </c>
    </row>
    <row r="8" spans="1:7" ht="13.5" thickBot="1">
      <c r="E8" s="53"/>
    </row>
    <row r="9" spans="1:7" ht="13.5" thickBot="1">
      <c r="A9" s="490" t="s">
        <v>790</v>
      </c>
      <c r="B9" s="491"/>
      <c r="C9" s="492"/>
      <c r="D9" s="175">
        <f>MEDIAN(B7:D7)</f>
        <v>15200</v>
      </c>
      <c r="E9" s="188"/>
      <c r="F9" s="189" t="s">
        <v>800</v>
      </c>
      <c r="G9" s="184">
        <f>D9/F7</f>
        <v>358.27931644077779</v>
      </c>
    </row>
    <row r="12" spans="1:7" ht="14.25">
      <c r="A12" s="272"/>
      <c r="B12" s="370" t="s">
        <v>894</v>
      </c>
      <c r="C12" s="370"/>
      <c r="D12" s="370"/>
      <c r="E12" s="370"/>
      <c r="F12" s="370"/>
      <c r="G12" s="272"/>
    </row>
    <row r="13" spans="1:7" ht="14.25">
      <c r="A13" s="272"/>
      <c r="B13" s="261"/>
      <c r="C13" s="6"/>
      <c r="D13" s="262"/>
      <c r="E13" s="272"/>
      <c r="F13" s="272"/>
      <c r="G13" s="272"/>
    </row>
    <row r="14" spans="1:7" ht="14.25">
      <c r="A14" s="272"/>
      <c r="B14" s="261"/>
      <c r="C14" s="6"/>
      <c r="D14" s="261" t="s">
        <v>99</v>
      </c>
      <c r="E14" s="272"/>
      <c r="F14" s="272"/>
      <c r="G14" s="272"/>
    </row>
    <row r="15" spans="1:7" ht="15">
      <c r="A15" s="272"/>
      <c r="B15" s="261"/>
      <c r="C15" s="6"/>
      <c r="D15" s="264" t="s">
        <v>515</v>
      </c>
      <c r="E15" s="272"/>
      <c r="F15" s="272"/>
      <c r="G15" s="272"/>
    </row>
    <row r="16" spans="1:7" ht="15">
      <c r="A16" s="272"/>
      <c r="B16" s="261"/>
      <c r="C16" s="6"/>
      <c r="D16" s="264" t="s">
        <v>517</v>
      </c>
      <c r="E16" s="272"/>
      <c r="F16" s="272"/>
      <c r="G16" s="272"/>
    </row>
    <row r="17" spans="1:7" ht="15">
      <c r="A17" s="272"/>
      <c r="B17" s="261"/>
      <c r="C17" s="6"/>
      <c r="D17" s="264" t="s">
        <v>94</v>
      </c>
      <c r="E17" s="272"/>
      <c r="F17" s="272"/>
      <c r="G17" s="272"/>
    </row>
    <row r="18" spans="1:7" ht="15">
      <c r="A18" s="272"/>
      <c r="B18" s="261"/>
      <c r="C18" s="6"/>
      <c r="D18" s="264" t="s">
        <v>95</v>
      </c>
      <c r="E18" s="272"/>
      <c r="F18" s="272"/>
      <c r="G18" s="272"/>
    </row>
    <row r="19" spans="1:7">
      <c r="A19" s="272"/>
      <c r="B19" s="272"/>
      <c r="C19" s="272"/>
      <c r="D19" s="272"/>
      <c r="E19" s="272"/>
      <c r="F19" s="272"/>
      <c r="G19" s="272"/>
    </row>
    <row r="39" spans="8:8">
      <c r="H39" s="242" t="s">
        <v>860</v>
      </c>
    </row>
  </sheetData>
  <mergeCells count="3">
    <mergeCell ref="A1:D1"/>
    <mergeCell ref="A9:C9"/>
    <mergeCell ref="B12:F1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PLANILHA 011017</vt:lpstr>
      <vt:lpstr>BDI</vt:lpstr>
      <vt:lpstr>MEMORIAL DE CALCULO GERAL</vt:lpstr>
      <vt:lpstr>MEMO DE CALC DEMOLIÇÃO</vt:lpstr>
      <vt:lpstr>MEMORIAL ESTRUTURAL</vt:lpstr>
      <vt:lpstr> MEMO DE CALC. REVESTIMENTO</vt:lpstr>
      <vt:lpstr>MEMORIAL ABERTURA DE VALA</vt:lpstr>
      <vt:lpstr>ORÇAMENTO GRADIL</vt:lpstr>
      <vt:lpstr>'MEMORIAL DE CALCULO GERAL'!Area_de_impressao</vt:lpstr>
      <vt:lpstr>'PLANILHA 011017'!FDE</vt:lpstr>
      <vt:lpstr>'PLANILHA 011017'!Titulos_de_impressao</vt:lpstr>
    </vt:vector>
  </TitlesOfParts>
  <Company>fde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Azevedo</dc:creator>
  <cp:lastModifiedBy>Usuário do Windows</cp:lastModifiedBy>
  <cp:lastPrinted>2022-02-02T17:30:09Z</cp:lastPrinted>
  <dcterms:created xsi:type="dcterms:W3CDTF">1999-12-30T13:15:15Z</dcterms:created>
  <dcterms:modified xsi:type="dcterms:W3CDTF">2022-02-22T16:48:15Z</dcterms:modified>
</cp:coreProperties>
</file>